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Users\Schoonen\Work Folders\Desktop\Personal\Judo\De Korte\Budokan Stage\2026\"/>
    </mc:Choice>
  </mc:AlternateContent>
  <xr:revisionPtr revIDLastSave="0" documentId="8_{B8B09FDD-2A85-4F80-A3A9-437B546F8715}" xr6:coauthVersionLast="47" xr6:coauthVersionMax="47" xr10:uidLastSave="{00000000-0000-0000-0000-000000000000}"/>
  <bookViews>
    <workbookView xWindow="-120" yWindow="-120" windowWidth="29040" windowHeight="15720" xr2:uid="{00000000-000D-0000-FFFF-FFFF00000000}"/>
  </bookViews>
  <sheets>
    <sheet name="Club details" sheetId="1" r:id="rId1"/>
    <sheet name="Participants" sheetId="6" r:id="rId2"/>
    <sheet name="Inschrijvingen" sheetId="3" state="veryHidden" r:id="rId3"/>
    <sheet name="Constanten" sheetId="2" state="veryHidden" r:id="rId4"/>
  </sheets>
  <definedNames>
    <definedName name="AankomstDag">Constanten!$D$9:$D$12</definedName>
    <definedName name="Betaald">Inschrijvingen!$F$7:$F$681</definedName>
    <definedName name="BetaaldClub">Constanten!$B$9:$B$11</definedName>
    <definedName name="Categorie">Inschrijvingen!$G$7:$G$681</definedName>
    <definedName name="CategorieWaarden">Constanten!$F$3:$F$5</definedName>
    <definedName name="Dag_1">Inschrijvingen!$I$7:$I$681</definedName>
    <definedName name="Dag_2_Middag">Inschrijvingen!$K$7:$K$681</definedName>
    <definedName name="Dag_2_Ochtend">Inschrijvingen!$J$7:$J$681</definedName>
    <definedName name="Dag_3_Middag">Inschrijvingen!$M$7:$M$681</definedName>
    <definedName name="Dag_3_Ochtend">Inschrijvingen!$L$7:$L$681</definedName>
    <definedName name="Dag_4">Inschrijvingen!$N$7:$N$681</definedName>
    <definedName name="DATA_ANaam">Inschrijvingen!$R$7:$R$681</definedName>
    <definedName name="DATA_Land">Inschrijvingen!$O$7:$O$681</definedName>
    <definedName name="DATA_Ver">Inschrijvingen!$E$7:$E$681</definedName>
    <definedName name="DeelnameNamen" localSheetId="1">Participants!$T$9:$T$83</definedName>
    <definedName name="DeelnameNamen">#REF!</definedName>
    <definedName name="GrensU15">Constanten!$F$9</definedName>
    <definedName name="HotelWaarden">Constanten!$D$3:$D$6</definedName>
    <definedName name="InschrijvingBetaald">'Club details'!$C$44</definedName>
    <definedName name="JAARGANG">Constanten!$H$3</definedName>
    <definedName name="JAARTAL">Constanten!$H$4</definedName>
    <definedName name="JaNee">Constanten!$B$3:$B$4</definedName>
    <definedName name="Kamer">Constanten!$D$15:$D$16</definedName>
    <definedName name="KostenClinic">Constanten!$K$7</definedName>
    <definedName name="KostenEnkeleTrainingJudoka">Constanten!$K$5</definedName>
    <definedName name="KostenHeleStage">Constanten!$K$4:$L$4</definedName>
    <definedName name="KostenHeleStageJudoka">Constanten!$K$4</definedName>
    <definedName name="KostenStage">Constanten!$N$15:$O$21</definedName>
    <definedName name="KostenTraining">Constanten!$K$5:$L$5</definedName>
    <definedName name="KostenTransportHotel">Constanten!$K$18</definedName>
    <definedName name="KostenTransportSchiphol">Constanten!$K$19</definedName>
    <definedName name="OptieBeschrijvingen">Constanten!$O$4:$O$7</definedName>
    <definedName name="OptieClub">'Club details'!$B$16</definedName>
    <definedName name="Opties">Constanten!$O$4:$Q$7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19" i="2" l="1"/>
  <c r="K5" i="2"/>
  <c r="O17" i="2" l="1"/>
  <c r="O18" i="2"/>
  <c r="O21" i="2"/>
  <c r="O16" i="2"/>
  <c r="O20" i="2" l="1"/>
  <c r="F9" i="2" l="1"/>
  <c r="F17" i="6" l="1"/>
  <c r="E10" i="6"/>
  <c r="E11" i="6"/>
  <c r="E12" i="6"/>
  <c r="E13" i="6"/>
  <c r="E14" i="6"/>
  <c r="E15" i="6"/>
  <c r="O83" i="6" l="1"/>
  <c r="O82" i="6"/>
  <c r="O81" i="6"/>
  <c r="O80" i="6"/>
  <c r="O79" i="6"/>
  <c r="O78" i="6"/>
  <c r="O77" i="6"/>
  <c r="O76" i="6"/>
  <c r="O75" i="6"/>
  <c r="O74" i="6"/>
  <c r="O73" i="6"/>
  <c r="O72" i="6"/>
  <c r="O71" i="6"/>
  <c r="O70" i="6"/>
  <c r="O69" i="6"/>
  <c r="O68" i="6"/>
  <c r="O67" i="6"/>
  <c r="O66" i="6"/>
  <c r="O65" i="6"/>
  <c r="O64" i="6"/>
  <c r="O63" i="6"/>
  <c r="O62" i="6"/>
  <c r="O61" i="6"/>
  <c r="O60" i="6"/>
  <c r="O59" i="6"/>
  <c r="O58" i="6"/>
  <c r="O57" i="6"/>
  <c r="O56" i="6"/>
  <c r="O55" i="6"/>
  <c r="O54" i="6"/>
  <c r="O53" i="6"/>
  <c r="O52" i="6"/>
  <c r="O51" i="6"/>
  <c r="O50" i="6"/>
  <c r="O49" i="6"/>
  <c r="O48" i="6"/>
  <c r="O47" i="6"/>
  <c r="O46" i="6"/>
  <c r="O45" i="6"/>
  <c r="O44" i="6"/>
  <c r="O43" i="6"/>
  <c r="O42" i="6"/>
  <c r="O41" i="6"/>
  <c r="O40" i="6"/>
  <c r="O39" i="6"/>
  <c r="O38" i="6"/>
  <c r="O37" i="6"/>
  <c r="O36" i="6"/>
  <c r="O35" i="6"/>
  <c r="O34" i="6"/>
  <c r="O33" i="6"/>
  <c r="O32" i="6"/>
  <c r="O31" i="6"/>
  <c r="O30" i="6"/>
  <c r="O29" i="6"/>
  <c r="O28" i="6"/>
  <c r="O27" i="6"/>
  <c r="O26" i="6"/>
  <c r="O25" i="6"/>
  <c r="O24" i="6"/>
  <c r="O23" i="6"/>
  <c r="O22" i="6"/>
  <c r="O21" i="6"/>
  <c r="O20" i="6"/>
  <c r="O19" i="6"/>
  <c r="O18" i="6"/>
  <c r="O17" i="6"/>
  <c r="O16" i="6"/>
  <c r="O15" i="6"/>
  <c r="O14" i="6"/>
  <c r="O13" i="6"/>
  <c r="O12" i="6"/>
  <c r="O11" i="6"/>
  <c r="O10" i="6"/>
  <c r="L10" i="6"/>
  <c r="L11" i="6"/>
  <c r="L12" i="6"/>
  <c r="L13" i="6"/>
  <c r="L14" i="6"/>
  <c r="L15" i="6"/>
  <c r="L16" i="6"/>
  <c r="L17" i="6"/>
  <c r="L18" i="6"/>
  <c r="L19" i="6"/>
  <c r="L20" i="6"/>
  <c r="L21" i="6"/>
  <c r="L22" i="6"/>
  <c r="L23" i="6"/>
  <c r="L24" i="6"/>
  <c r="L25" i="6"/>
  <c r="L26" i="6"/>
  <c r="L27" i="6"/>
  <c r="L28" i="6"/>
  <c r="L29" i="6"/>
  <c r="L30" i="6"/>
  <c r="L31" i="6"/>
  <c r="L32" i="6"/>
  <c r="L33" i="6"/>
  <c r="L34" i="6"/>
  <c r="L35" i="6"/>
  <c r="L36" i="6"/>
  <c r="L37" i="6"/>
  <c r="L38" i="6"/>
  <c r="L39" i="6"/>
  <c r="L40" i="6"/>
  <c r="L41" i="6"/>
  <c r="L42" i="6"/>
  <c r="L43" i="6"/>
  <c r="L44" i="6"/>
  <c r="L45" i="6"/>
  <c r="L46" i="6"/>
  <c r="L47" i="6"/>
  <c r="L48" i="6"/>
  <c r="L49" i="6"/>
  <c r="L50" i="6"/>
  <c r="L51" i="6"/>
  <c r="L52" i="6"/>
  <c r="L53" i="6"/>
  <c r="L54" i="6"/>
  <c r="L55" i="6"/>
  <c r="L56" i="6"/>
  <c r="L57" i="6"/>
  <c r="L58" i="6"/>
  <c r="L59" i="6"/>
  <c r="L60" i="6"/>
  <c r="L61" i="6"/>
  <c r="L62" i="6"/>
  <c r="L63" i="6"/>
  <c r="L64" i="6"/>
  <c r="L65" i="6"/>
  <c r="L66" i="6"/>
  <c r="L67" i="6"/>
  <c r="L68" i="6"/>
  <c r="L69" i="6"/>
  <c r="L70" i="6"/>
  <c r="L71" i="6"/>
  <c r="L72" i="6"/>
  <c r="L73" i="6"/>
  <c r="L74" i="6"/>
  <c r="L75" i="6"/>
  <c r="L76" i="6"/>
  <c r="L77" i="6"/>
  <c r="L78" i="6"/>
  <c r="L79" i="6"/>
  <c r="L80" i="6"/>
  <c r="L81" i="6"/>
  <c r="L82" i="6"/>
  <c r="L83" i="6"/>
  <c r="L9" i="6"/>
  <c r="V17" i="6"/>
  <c r="P35" i="6" l="1"/>
  <c r="F33" i="3"/>
  <c r="P59" i="6"/>
  <c r="F57" i="3"/>
  <c r="P83" i="6"/>
  <c r="F81" i="3"/>
  <c r="P20" i="6"/>
  <c r="F18" i="3"/>
  <c r="P60" i="6"/>
  <c r="F58" i="3"/>
  <c r="P13" i="6"/>
  <c r="F11" i="3"/>
  <c r="P21" i="6"/>
  <c r="F19" i="3"/>
  <c r="P29" i="6"/>
  <c r="F27" i="3"/>
  <c r="P37" i="6"/>
  <c r="F35" i="3"/>
  <c r="P45" i="6"/>
  <c r="F43" i="3"/>
  <c r="P53" i="6"/>
  <c r="F51" i="3"/>
  <c r="P61" i="6"/>
  <c r="F59" i="3"/>
  <c r="P69" i="6"/>
  <c r="F67" i="3"/>
  <c r="P77" i="6"/>
  <c r="F75" i="3"/>
  <c r="P27" i="6"/>
  <c r="F25" i="3"/>
  <c r="P36" i="6"/>
  <c r="F34" i="3"/>
  <c r="P52" i="6"/>
  <c r="F50" i="3"/>
  <c r="P68" i="6"/>
  <c r="F66" i="3"/>
  <c r="P14" i="6"/>
  <c r="F12" i="3"/>
  <c r="P30" i="6"/>
  <c r="F28" i="3"/>
  <c r="P54" i="6"/>
  <c r="F52" i="3"/>
  <c r="P62" i="6"/>
  <c r="F60" i="3"/>
  <c r="P15" i="6"/>
  <c r="F13" i="3"/>
  <c r="P23" i="6"/>
  <c r="F21" i="3"/>
  <c r="P47" i="6"/>
  <c r="F45" i="3"/>
  <c r="P63" i="6"/>
  <c r="F61" i="3"/>
  <c r="P71" i="6"/>
  <c r="F69" i="3"/>
  <c r="P16" i="6"/>
  <c r="F14" i="3"/>
  <c r="P24" i="6"/>
  <c r="F22" i="3"/>
  <c r="P32" i="6"/>
  <c r="F30" i="3"/>
  <c r="P40" i="6"/>
  <c r="F38" i="3"/>
  <c r="P48" i="6"/>
  <c r="F46" i="3"/>
  <c r="P56" i="6"/>
  <c r="F54" i="3"/>
  <c r="P64" i="6"/>
  <c r="F62" i="3"/>
  <c r="P72" i="6"/>
  <c r="F70" i="3"/>
  <c r="P80" i="6"/>
  <c r="F78" i="3"/>
  <c r="P11" i="6"/>
  <c r="F9" i="3"/>
  <c r="P67" i="6"/>
  <c r="F65" i="3"/>
  <c r="P22" i="6"/>
  <c r="F20" i="3"/>
  <c r="P46" i="6"/>
  <c r="F44" i="3"/>
  <c r="P70" i="6"/>
  <c r="F68" i="3"/>
  <c r="P31" i="6"/>
  <c r="F29" i="3"/>
  <c r="P55" i="6"/>
  <c r="F53" i="3"/>
  <c r="P79" i="6"/>
  <c r="F77" i="3"/>
  <c r="P17" i="6"/>
  <c r="F15" i="3"/>
  <c r="P25" i="6"/>
  <c r="F23" i="3"/>
  <c r="P33" i="6"/>
  <c r="F31" i="3"/>
  <c r="P41" i="6"/>
  <c r="F39" i="3"/>
  <c r="P49" i="6"/>
  <c r="F47" i="3"/>
  <c r="P57" i="6"/>
  <c r="F55" i="3"/>
  <c r="P65" i="6"/>
  <c r="F63" i="3"/>
  <c r="P73" i="6"/>
  <c r="F71" i="3"/>
  <c r="P81" i="6"/>
  <c r="F79" i="3"/>
  <c r="P19" i="6"/>
  <c r="F17" i="3"/>
  <c r="P51" i="6"/>
  <c r="F49" i="3"/>
  <c r="P75" i="6"/>
  <c r="F73" i="3"/>
  <c r="P12" i="6"/>
  <c r="F10" i="3"/>
  <c r="P28" i="6"/>
  <c r="F26" i="3"/>
  <c r="P44" i="6"/>
  <c r="F42" i="3"/>
  <c r="P76" i="6"/>
  <c r="F74" i="3"/>
  <c r="P38" i="6"/>
  <c r="F36" i="3"/>
  <c r="P78" i="6"/>
  <c r="F76" i="3"/>
  <c r="P39" i="6"/>
  <c r="F37" i="3"/>
  <c r="P10" i="6"/>
  <c r="F8" i="3"/>
  <c r="P18" i="6"/>
  <c r="F16" i="3"/>
  <c r="P26" i="6"/>
  <c r="F24" i="3"/>
  <c r="P34" i="6"/>
  <c r="F32" i="3"/>
  <c r="P42" i="6"/>
  <c r="F40" i="3"/>
  <c r="P50" i="6"/>
  <c r="F48" i="3"/>
  <c r="P58" i="6"/>
  <c r="F56" i="3"/>
  <c r="P66" i="6"/>
  <c r="F64" i="3"/>
  <c r="P74" i="6"/>
  <c r="F72" i="3"/>
  <c r="P82" i="6"/>
  <c r="F80" i="3"/>
  <c r="P43" i="6"/>
  <c r="F41" i="3"/>
  <c r="O9" i="6"/>
  <c r="F7" i="3" s="1"/>
  <c r="A52" i="1"/>
  <c r="A51" i="1"/>
  <c r="B41" i="1"/>
  <c r="A2" i="1"/>
  <c r="P9" i="6" l="1"/>
  <c r="F10" i="6"/>
  <c r="V10" i="6" s="1"/>
  <c r="F11" i="6"/>
  <c r="V11" i="6" s="1"/>
  <c r="F12" i="6"/>
  <c r="V12" i="6" s="1"/>
  <c r="F13" i="6"/>
  <c r="V13" i="6" s="1"/>
  <c r="F14" i="6"/>
  <c r="V14" i="6" s="1"/>
  <c r="F15" i="6"/>
  <c r="V15" i="6" s="1"/>
  <c r="F16" i="6"/>
  <c r="V16" i="6" s="1"/>
  <c r="F18" i="6"/>
  <c r="V18" i="6" s="1"/>
  <c r="F19" i="6"/>
  <c r="V19" i="6" s="1"/>
  <c r="F20" i="6"/>
  <c r="V20" i="6" s="1"/>
  <c r="L4" i="6" l="1"/>
  <c r="B42" i="1" l="1"/>
  <c r="F21" i="6" l="1"/>
  <c r="V21" i="6" s="1"/>
  <c r="F22" i="6"/>
  <c r="V22" i="6" s="1"/>
  <c r="F23" i="6"/>
  <c r="V23" i="6" s="1"/>
  <c r="F24" i="6"/>
  <c r="V24" i="6" s="1"/>
  <c r="F25" i="6"/>
  <c r="V25" i="6" s="1"/>
  <c r="F26" i="6"/>
  <c r="V26" i="6" s="1"/>
  <c r="F27" i="6"/>
  <c r="V27" i="6" s="1"/>
  <c r="F28" i="6"/>
  <c r="V28" i="6" s="1"/>
  <c r="F29" i="6"/>
  <c r="V29" i="6" s="1"/>
  <c r="F30" i="6"/>
  <c r="V30" i="6" s="1"/>
  <c r="F31" i="6"/>
  <c r="V31" i="6" s="1"/>
  <c r="F32" i="6"/>
  <c r="V32" i="6" s="1"/>
  <c r="F33" i="6"/>
  <c r="V33" i="6" s="1"/>
  <c r="F34" i="6"/>
  <c r="V34" i="6" s="1"/>
  <c r="F35" i="6"/>
  <c r="V35" i="6" s="1"/>
  <c r="F36" i="6"/>
  <c r="V36" i="6" s="1"/>
  <c r="F37" i="6"/>
  <c r="V37" i="6" s="1"/>
  <c r="F38" i="6"/>
  <c r="V38" i="6" s="1"/>
  <c r="F39" i="6"/>
  <c r="V39" i="6" s="1"/>
  <c r="F40" i="6"/>
  <c r="V40" i="6" s="1"/>
  <c r="F41" i="6"/>
  <c r="V41" i="6" s="1"/>
  <c r="F42" i="6"/>
  <c r="V42" i="6" s="1"/>
  <c r="F43" i="6"/>
  <c r="V43" i="6" s="1"/>
  <c r="F44" i="6"/>
  <c r="V44" i="6" s="1"/>
  <c r="F45" i="6"/>
  <c r="V45" i="6" s="1"/>
  <c r="F46" i="6"/>
  <c r="V46" i="6" s="1"/>
  <c r="F47" i="6"/>
  <c r="V47" i="6" s="1"/>
  <c r="F48" i="6"/>
  <c r="V48" i="6" s="1"/>
  <c r="F49" i="6"/>
  <c r="V49" i="6" s="1"/>
  <c r="F50" i="6"/>
  <c r="V50" i="6" s="1"/>
  <c r="F51" i="6"/>
  <c r="V51" i="6" s="1"/>
  <c r="F52" i="6"/>
  <c r="V52" i="6" s="1"/>
  <c r="F53" i="6"/>
  <c r="V53" i="6" s="1"/>
  <c r="F54" i="6"/>
  <c r="V54" i="6" s="1"/>
  <c r="F55" i="6"/>
  <c r="V55" i="6" s="1"/>
  <c r="F56" i="6"/>
  <c r="V56" i="6" s="1"/>
  <c r="F57" i="6"/>
  <c r="V57" i="6" s="1"/>
  <c r="F58" i="6"/>
  <c r="V58" i="6" s="1"/>
  <c r="F59" i="6"/>
  <c r="V59" i="6" s="1"/>
  <c r="F60" i="6"/>
  <c r="V60" i="6" s="1"/>
  <c r="F61" i="6"/>
  <c r="V61" i="6" s="1"/>
  <c r="F62" i="6"/>
  <c r="V62" i="6" s="1"/>
  <c r="F63" i="6"/>
  <c r="V63" i="6" s="1"/>
  <c r="F64" i="6"/>
  <c r="V64" i="6" s="1"/>
  <c r="F65" i="6"/>
  <c r="V65" i="6" s="1"/>
  <c r="F66" i="6"/>
  <c r="V66" i="6" s="1"/>
  <c r="F67" i="6"/>
  <c r="V67" i="6" s="1"/>
  <c r="F68" i="6"/>
  <c r="V68" i="6" s="1"/>
  <c r="F69" i="6"/>
  <c r="V69" i="6" s="1"/>
  <c r="F70" i="6"/>
  <c r="V70" i="6" s="1"/>
  <c r="F71" i="6"/>
  <c r="V71" i="6" s="1"/>
  <c r="F72" i="6"/>
  <c r="V72" i="6" s="1"/>
  <c r="F73" i="6"/>
  <c r="V73" i="6" s="1"/>
  <c r="F74" i="6"/>
  <c r="V74" i="6" s="1"/>
  <c r="F75" i="6"/>
  <c r="V75" i="6" s="1"/>
  <c r="F76" i="6"/>
  <c r="V76" i="6" s="1"/>
  <c r="F77" i="6"/>
  <c r="V77" i="6" s="1"/>
  <c r="F78" i="6"/>
  <c r="V78" i="6" s="1"/>
  <c r="F79" i="6"/>
  <c r="V79" i="6" s="1"/>
  <c r="F80" i="6"/>
  <c r="V80" i="6" s="1"/>
  <c r="F81" i="6"/>
  <c r="V81" i="6" s="1"/>
  <c r="F82" i="6"/>
  <c r="V82" i="6" s="1"/>
  <c r="F83" i="6"/>
  <c r="V83" i="6" s="1"/>
  <c r="F9" i="6"/>
  <c r="V9" i="6" s="1"/>
  <c r="B8" i="3" l="1"/>
  <c r="C8" i="3"/>
  <c r="D8" i="3"/>
  <c r="O8" i="3"/>
  <c r="B9" i="3"/>
  <c r="C9" i="3"/>
  <c r="D9" i="3"/>
  <c r="G9" i="3"/>
  <c r="O9" i="3"/>
  <c r="B10" i="3"/>
  <c r="C10" i="3"/>
  <c r="D10" i="3"/>
  <c r="G10" i="3"/>
  <c r="O10" i="3"/>
  <c r="B11" i="3"/>
  <c r="C11" i="3"/>
  <c r="D11" i="3"/>
  <c r="O11" i="3"/>
  <c r="B12" i="3"/>
  <c r="C12" i="3"/>
  <c r="D12" i="3"/>
  <c r="O12" i="3"/>
  <c r="B13" i="3"/>
  <c r="C13" i="3"/>
  <c r="D13" i="3"/>
  <c r="G13" i="3"/>
  <c r="O13" i="3"/>
  <c r="B14" i="3"/>
  <c r="C14" i="3"/>
  <c r="D14" i="3"/>
  <c r="O14" i="3"/>
  <c r="B15" i="3"/>
  <c r="C15" i="3"/>
  <c r="D15" i="3"/>
  <c r="O15" i="3"/>
  <c r="B16" i="3"/>
  <c r="C16" i="3"/>
  <c r="D16" i="3"/>
  <c r="O16" i="3"/>
  <c r="B17" i="3"/>
  <c r="C17" i="3"/>
  <c r="D17" i="3"/>
  <c r="O17" i="3"/>
  <c r="B18" i="3"/>
  <c r="C18" i="3"/>
  <c r="D18" i="3"/>
  <c r="O18" i="3"/>
  <c r="B19" i="3"/>
  <c r="C19" i="3"/>
  <c r="D19" i="3"/>
  <c r="O19" i="3"/>
  <c r="B20" i="3"/>
  <c r="C20" i="3"/>
  <c r="D20" i="3"/>
  <c r="O20" i="3"/>
  <c r="B21" i="3"/>
  <c r="C21" i="3"/>
  <c r="D21" i="3"/>
  <c r="O21" i="3"/>
  <c r="B22" i="3"/>
  <c r="C22" i="3"/>
  <c r="D22" i="3"/>
  <c r="O22" i="3"/>
  <c r="B23" i="3"/>
  <c r="C23" i="3"/>
  <c r="D23" i="3"/>
  <c r="O23" i="3"/>
  <c r="B24" i="3"/>
  <c r="C24" i="3"/>
  <c r="D24" i="3"/>
  <c r="O24" i="3"/>
  <c r="B25" i="3"/>
  <c r="C25" i="3"/>
  <c r="D25" i="3"/>
  <c r="O25" i="3"/>
  <c r="B26" i="3"/>
  <c r="C26" i="3"/>
  <c r="D26" i="3"/>
  <c r="O26" i="3"/>
  <c r="B27" i="3"/>
  <c r="C27" i="3"/>
  <c r="D27" i="3"/>
  <c r="O27" i="3"/>
  <c r="B28" i="3"/>
  <c r="C28" i="3"/>
  <c r="D28" i="3"/>
  <c r="O28" i="3"/>
  <c r="B29" i="3"/>
  <c r="C29" i="3"/>
  <c r="D29" i="3"/>
  <c r="O29" i="3"/>
  <c r="B30" i="3"/>
  <c r="C30" i="3"/>
  <c r="D30" i="3"/>
  <c r="O30" i="3"/>
  <c r="B31" i="3"/>
  <c r="C31" i="3"/>
  <c r="D31" i="3"/>
  <c r="O31" i="3"/>
  <c r="B32" i="3"/>
  <c r="C32" i="3"/>
  <c r="D32" i="3"/>
  <c r="O32" i="3"/>
  <c r="B33" i="3"/>
  <c r="C33" i="3"/>
  <c r="D33" i="3"/>
  <c r="O33" i="3"/>
  <c r="B34" i="3"/>
  <c r="C34" i="3"/>
  <c r="D34" i="3"/>
  <c r="O34" i="3"/>
  <c r="B35" i="3"/>
  <c r="C35" i="3"/>
  <c r="D35" i="3"/>
  <c r="O35" i="3"/>
  <c r="B36" i="3"/>
  <c r="C36" i="3"/>
  <c r="D36" i="3"/>
  <c r="O36" i="3"/>
  <c r="B37" i="3"/>
  <c r="C37" i="3"/>
  <c r="D37" i="3"/>
  <c r="O37" i="3"/>
  <c r="B38" i="3"/>
  <c r="C38" i="3"/>
  <c r="D38" i="3"/>
  <c r="O38" i="3"/>
  <c r="B39" i="3"/>
  <c r="C39" i="3"/>
  <c r="D39" i="3"/>
  <c r="O39" i="3"/>
  <c r="B40" i="3"/>
  <c r="C40" i="3"/>
  <c r="D40" i="3"/>
  <c r="O40" i="3"/>
  <c r="B41" i="3"/>
  <c r="C41" i="3"/>
  <c r="D41" i="3"/>
  <c r="O41" i="3"/>
  <c r="B42" i="3"/>
  <c r="C42" i="3"/>
  <c r="D42" i="3"/>
  <c r="O42" i="3"/>
  <c r="B43" i="3"/>
  <c r="C43" i="3"/>
  <c r="D43" i="3"/>
  <c r="O43" i="3"/>
  <c r="B44" i="3"/>
  <c r="C44" i="3"/>
  <c r="D44" i="3"/>
  <c r="O44" i="3"/>
  <c r="B45" i="3"/>
  <c r="C45" i="3"/>
  <c r="D45" i="3"/>
  <c r="O45" i="3"/>
  <c r="B46" i="3"/>
  <c r="C46" i="3"/>
  <c r="D46" i="3"/>
  <c r="O46" i="3"/>
  <c r="B47" i="3"/>
  <c r="C47" i="3"/>
  <c r="D47" i="3"/>
  <c r="O47" i="3"/>
  <c r="B48" i="3"/>
  <c r="C48" i="3"/>
  <c r="D48" i="3"/>
  <c r="O48" i="3"/>
  <c r="B49" i="3"/>
  <c r="C49" i="3"/>
  <c r="D49" i="3"/>
  <c r="O49" i="3"/>
  <c r="B50" i="3"/>
  <c r="C50" i="3"/>
  <c r="D50" i="3"/>
  <c r="O50" i="3"/>
  <c r="B51" i="3"/>
  <c r="C51" i="3"/>
  <c r="D51" i="3"/>
  <c r="O51" i="3"/>
  <c r="B52" i="3"/>
  <c r="C52" i="3"/>
  <c r="D52" i="3"/>
  <c r="O52" i="3"/>
  <c r="B53" i="3"/>
  <c r="C53" i="3"/>
  <c r="D53" i="3"/>
  <c r="O53" i="3"/>
  <c r="B54" i="3"/>
  <c r="C54" i="3"/>
  <c r="D54" i="3"/>
  <c r="O54" i="3"/>
  <c r="B55" i="3"/>
  <c r="C55" i="3"/>
  <c r="D55" i="3"/>
  <c r="O55" i="3"/>
  <c r="B56" i="3"/>
  <c r="C56" i="3"/>
  <c r="D56" i="3"/>
  <c r="O56" i="3"/>
  <c r="B57" i="3"/>
  <c r="C57" i="3"/>
  <c r="D57" i="3"/>
  <c r="O57" i="3"/>
  <c r="B58" i="3"/>
  <c r="C58" i="3"/>
  <c r="D58" i="3"/>
  <c r="O58" i="3"/>
  <c r="B59" i="3"/>
  <c r="C59" i="3"/>
  <c r="D59" i="3"/>
  <c r="O59" i="3"/>
  <c r="B60" i="3"/>
  <c r="C60" i="3"/>
  <c r="D60" i="3"/>
  <c r="O60" i="3"/>
  <c r="B61" i="3"/>
  <c r="C61" i="3"/>
  <c r="D61" i="3"/>
  <c r="O61" i="3"/>
  <c r="B62" i="3"/>
  <c r="C62" i="3"/>
  <c r="D62" i="3"/>
  <c r="O62" i="3"/>
  <c r="B63" i="3"/>
  <c r="C63" i="3"/>
  <c r="D63" i="3"/>
  <c r="O63" i="3"/>
  <c r="B64" i="3"/>
  <c r="C64" i="3"/>
  <c r="D64" i="3"/>
  <c r="O64" i="3"/>
  <c r="B65" i="3"/>
  <c r="C65" i="3"/>
  <c r="D65" i="3"/>
  <c r="O65" i="3"/>
  <c r="B66" i="3"/>
  <c r="C66" i="3"/>
  <c r="D66" i="3"/>
  <c r="O66" i="3"/>
  <c r="B67" i="3"/>
  <c r="C67" i="3"/>
  <c r="D67" i="3"/>
  <c r="O67" i="3"/>
  <c r="B68" i="3"/>
  <c r="C68" i="3"/>
  <c r="D68" i="3"/>
  <c r="O68" i="3"/>
  <c r="B69" i="3"/>
  <c r="C69" i="3"/>
  <c r="D69" i="3"/>
  <c r="O69" i="3"/>
  <c r="B70" i="3"/>
  <c r="C70" i="3"/>
  <c r="D70" i="3"/>
  <c r="O70" i="3"/>
  <c r="B71" i="3"/>
  <c r="C71" i="3"/>
  <c r="D71" i="3"/>
  <c r="O71" i="3"/>
  <c r="B72" i="3"/>
  <c r="C72" i="3"/>
  <c r="D72" i="3"/>
  <c r="O72" i="3"/>
  <c r="B73" i="3"/>
  <c r="C73" i="3"/>
  <c r="D73" i="3"/>
  <c r="O73" i="3"/>
  <c r="B74" i="3"/>
  <c r="C74" i="3"/>
  <c r="D74" i="3"/>
  <c r="O74" i="3"/>
  <c r="B75" i="3"/>
  <c r="C75" i="3"/>
  <c r="D75" i="3"/>
  <c r="O75" i="3"/>
  <c r="B76" i="3"/>
  <c r="C76" i="3"/>
  <c r="D76" i="3"/>
  <c r="O76" i="3"/>
  <c r="B77" i="3"/>
  <c r="C77" i="3"/>
  <c r="D77" i="3"/>
  <c r="O77" i="3"/>
  <c r="B78" i="3"/>
  <c r="C78" i="3"/>
  <c r="D78" i="3"/>
  <c r="O78" i="3"/>
  <c r="B79" i="3"/>
  <c r="C79" i="3"/>
  <c r="D79" i="3"/>
  <c r="O79" i="3"/>
  <c r="B80" i="3"/>
  <c r="C80" i="3"/>
  <c r="D80" i="3"/>
  <c r="O80" i="3"/>
  <c r="B81" i="3"/>
  <c r="C81" i="3"/>
  <c r="D81" i="3"/>
  <c r="O81" i="3"/>
  <c r="D7" i="3"/>
  <c r="C7" i="3"/>
  <c r="B7" i="3"/>
  <c r="W14" i="6" l="1"/>
  <c r="W15" i="6"/>
  <c r="X15" i="6" s="1"/>
  <c r="W16" i="6"/>
  <c r="W17" i="6" l="1"/>
  <c r="W18" i="6"/>
  <c r="W19" i="6"/>
  <c r="W20" i="6"/>
  <c r="W21" i="6"/>
  <c r="W22" i="6"/>
  <c r="W23" i="6"/>
  <c r="W24" i="6"/>
  <c r="W25" i="6"/>
  <c r="W26" i="6"/>
  <c r="W27" i="6"/>
  <c r="W28" i="6"/>
  <c r="W29" i="6"/>
  <c r="W30" i="6"/>
  <c r="W31" i="6"/>
  <c r="W32" i="6"/>
  <c r="W33" i="6"/>
  <c r="W34" i="6"/>
  <c r="W35" i="6"/>
  <c r="W36" i="6"/>
  <c r="W37" i="6"/>
  <c r="W38" i="6"/>
  <c r="W39" i="6"/>
  <c r="W40" i="6"/>
  <c r="W41" i="6"/>
  <c r="W42" i="6"/>
  <c r="W43" i="6"/>
  <c r="W44" i="6"/>
  <c r="W45" i="6"/>
  <c r="W46" i="6"/>
  <c r="W47" i="6"/>
  <c r="W48" i="6"/>
  <c r="W49" i="6"/>
  <c r="W50" i="6"/>
  <c r="W51" i="6"/>
  <c r="W52" i="6"/>
  <c r="W53" i="6"/>
  <c r="W54" i="6"/>
  <c r="W55" i="6"/>
  <c r="W56" i="6"/>
  <c r="W57" i="6"/>
  <c r="W58" i="6"/>
  <c r="W59" i="6"/>
  <c r="W60" i="6"/>
  <c r="W61" i="6"/>
  <c r="W62" i="6"/>
  <c r="W63" i="6"/>
  <c r="W64" i="6"/>
  <c r="W65" i="6"/>
  <c r="W66" i="6"/>
  <c r="W67" i="6"/>
  <c r="W68" i="6"/>
  <c r="W69" i="6"/>
  <c r="W70" i="6"/>
  <c r="W71" i="6"/>
  <c r="W72" i="6"/>
  <c r="W73" i="6"/>
  <c r="W74" i="6"/>
  <c r="W75" i="6"/>
  <c r="W76" i="6"/>
  <c r="W77" i="6"/>
  <c r="W78" i="6"/>
  <c r="W79" i="6"/>
  <c r="W80" i="6"/>
  <c r="W81" i="6"/>
  <c r="W82" i="6"/>
  <c r="W83" i="6"/>
  <c r="E19" i="6" l="1"/>
  <c r="E20" i="6"/>
  <c r="G18" i="3" l="1"/>
  <c r="X20" i="6"/>
  <c r="G17" i="3"/>
  <c r="X19" i="6"/>
  <c r="W10" i="6"/>
  <c r="X10" i="6" s="1"/>
  <c r="W11" i="6"/>
  <c r="X11" i="6" s="1"/>
  <c r="W12" i="6"/>
  <c r="X12" i="6" s="1"/>
  <c r="W13" i="6"/>
  <c r="W9" i="6"/>
  <c r="T83" i="6"/>
  <c r="U83" i="6" s="1"/>
  <c r="E83" i="6"/>
  <c r="T82" i="6"/>
  <c r="U82" i="6" s="1"/>
  <c r="E82" i="6"/>
  <c r="T81" i="6"/>
  <c r="U81" i="6" s="1"/>
  <c r="E81" i="6"/>
  <c r="T80" i="6"/>
  <c r="U80" i="6" s="1"/>
  <c r="E80" i="6"/>
  <c r="T79" i="6"/>
  <c r="U79" i="6" s="1"/>
  <c r="E79" i="6"/>
  <c r="T78" i="6"/>
  <c r="U78" i="6" s="1"/>
  <c r="E78" i="6"/>
  <c r="T77" i="6"/>
  <c r="U77" i="6" s="1"/>
  <c r="E77" i="6"/>
  <c r="T76" i="6"/>
  <c r="U76" i="6" s="1"/>
  <c r="E76" i="6"/>
  <c r="T75" i="6"/>
  <c r="U75" i="6" s="1"/>
  <c r="E75" i="6"/>
  <c r="T74" i="6"/>
  <c r="U74" i="6" s="1"/>
  <c r="E74" i="6"/>
  <c r="T73" i="6"/>
  <c r="U73" i="6" s="1"/>
  <c r="E73" i="6"/>
  <c r="T72" i="6"/>
  <c r="U72" i="6" s="1"/>
  <c r="E72" i="6"/>
  <c r="T71" i="6"/>
  <c r="U71" i="6" s="1"/>
  <c r="E71" i="6"/>
  <c r="T70" i="6"/>
  <c r="U70" i="6" s="1"/>
  <c r="E70" i="6"/>
  <c r="T69" i="6"/>
  <c r="U69" i="6" s="1"/>
  <c r="E69" i="6"/>
  <c r="T68" i="6"/>
  <c r="U68" i="6" s="1"/>
  <c r="E68" i="6"/>
  <c r="T67" i="6"/>
  <c r="U67" i="6" s="1"/>
  <c r="E67" i="6"/>
  <c r="T66" i="6"/>
  <c r="U66" i="6" s="1"/>
  <c r="E66" i="6"/>
  <c r="T65" i="6"/>
  <c r="U65" i="6" s="1"/>
  <c r="E65" i="6"/>
  <c r="T64" i="6"/>
  <c r="U64" i="6" s="1"/>
  <c r="E64" i="6"/>
  <c r="T63" i="6"/>
  <c r="U63" i="6" s="1"/>
  <c r="E63" i="6"/>
  <c r="T62" i="6"/>
  <c r="U62" i="6" s="1"/>
  <c r="E62" i="6"/>
  <c r="T61" i="6"/>
  <c r="U61" i="6" s="1"/>
  <c r="E61" i="6"/>
  <c r="T60" i="6"/>
  <c r="U60" i="6" s="1"/>
  <c r="E60" i="6"/>
  <c r="T59" i="6"/>
  <c r="U59" i="6" s="1"/>
  <c r="E59" i="6"/>
  <c r="T58" i="6"/>
  <c r="U58" i="6" s="1"/>
  <c r="E58" i="6"/>
  <c r="T57" i="6"/>
  <c r="U57" i="6" s="1"/>
  <c r="E57" i="6"/>
  <c r="T56" i="6"/>
  <c r="U56" i="6" s="1"/>
  <c r="E56" i="6"/>
  <c r="T55" i="6"/>
  <c r="U55" i="6" s="1"/>
  <c r="E55" i="6"/>
  <c r="T54" i="6"/>
  <c r="U54" i="6" s="1"/>
  <c r="E54" i="6"/>
  <c r="T53" i="6"/>
  <c r="U53" i="6" s="1"/>
  <c r="E53" i="6"/>
  <c r="T52" i="6"/>
  <c r="U52" i="6" s="1"/>
  <c r="E52" i="6"/>
  <c r="T51" i="6"/>
  <c r="U51" i="6" s="1"/>
  <c r="E51" i="6"/>
  <c r="T50" i="6"/>
  <c r="U50" i="6" s="1"/>
  <c r="E50" i="6"/>
  <c r="T49" i="6"/>
  <c r="U49" i="6" s="1"/>
  <c r="E49" i="6"/>
  <c r="T48" i="6"/>
  <c r="U48" i="6" s="1"/>
  <c r="E48" i="6"/>
  <c r="T47" i="6"/>
  <c r="U47" i="6" s="1"/>
  <c r="E47" i="6"/>
  <c r="T46" i="6"/>
  <c r="U46" i="6" s="1"/>
  <c r="E46" i="6"/>
  <c r="T45" i="6"/>
  <c r="U45" i="6" s="1"/>
  <c r="E45" i="6"/>
  <c r="T44" i="6"/>
  <c r="U44" i="6" s="1"/>
  <c r="E44" i="6"/>
  <c r="T43" i="6"/>
  <c r="U43" i="6" s="1"/>
  <c r="E43" i="6"/>
  <c r="T42" i="6"/>
  <c r="U42" i="6" s="1"/>
  <c r="E42" i="6"/>
  <c r="T41" i="6"/>
  <c r="U41" i="6" s="1"/>
  <c r="E41" i="6"/>
  <c r="T40" i="6"/>
  <c r="U40" i="6" s="1"/>
  <c r="E40" i="6"/>
  <c r="T39" i="6"/>
  <c r="U39" i="6" s="1"/>
  <c r="E39" i="6"/>
  <c r="T38" i="6"/>
  <c r="U38" i="6" s="1"/>
  <c r="E38" i="6"/>
  <c r="T37" i="6"/>
  <c r="U37" i="6" s="1"/>
  <c r="E37" i="6"/>
  <c r="T36" i="6"/>
  <c r="U36" i="6" s="1"/>
  <c r="E36" i="6"/>
  <c r="T35" i="6"/>
  <c r="U35" i="6" s="1"/>
  <c r="E35" i="6"/>
  <c r="T34" i="6"/>
  <c r="U34" i="6" s="1"/>
  <c r="E34" i="6"/>
  <c r="T33" i="6"/>
  <c r="U33" i="6" s="1"/>
  <c r="E33" i="6"/>
  <c r="T32" i="6"/>
  <c r="U32" i="6" s="1"/>
  <c r="E32" i="6"/>
  <c r="T31" i="6"/>
  <c r="U31" i="6" s="1"/>
  <c r="E31" i="6"/>
  <c r="T30" i="6"/>
  <c r="U30" i="6" s="1"/>
  <c r="E30" i="6"/>
  <c r="T29" i="6"/>
  <c r="U29" i="6" s="1"/>
  <c r="E29" i="6"/>
  <c r="T28" i="6"/>
  <c r="U28" i="6" s="1"/>
  <c r="E28" i="6"/>
  <c r="T27" i="6"/>
  <c r="U27" i="6" s="1"/>
  <c r="E27" i="6"/>
  <c r="T26" i="6"/>
  <c r="U26" i="6" s="1"/>
  <c r="E26" i="6"/>
  <c r="T25" i="6"/>
  <c r="U25" i="6" s="1"/>
  <c r="E25" i="6"/>
  <c r="T24" i="6"/>
  <c r="U24" i="6" s="1"/>
  <c r="E24" i="6"/>
  <c r="T23" i="6"/>
  <c r="U23" i="6" s="1"/>
  <c r="E23" i="6"/>
  <c r="T22" i="6"/>
  <c r="U22" i="6" s="1"/>
  <c r="E22" i="6"/>
  <c r="T21" i="6"/>
  <c r="U21" i="6" s="1"/>
  <c r="E21" i="6"/>
  <c r="T20" i="6"/>
  <c r="U20" i="6" s="1"/>
  <c r="T19" i="6"/>
  <c r="U19" i="6" s="1"/>
  <c r="T18" i="6"/>
  <c r="U18" i="6" s="1"/>
  <c r="E18" i="6"/>
  <c r="T17" i="6"/>
  <c r="U17" i="6" s="1"/>
  <c r="E17" i="6"/>
  <c r="T16" i="6"/>
  <c r="U16" i="6" s="1"/>
  <c r="E16" i="6"/>
  <c r="T15" i="6"/>
  <c r="U15" i="6" s="1"/>
  <c r="T14" i="6"/>
  <c r="U14" i="6" s="1"/>
  <c r="X14" i="6"/>
  <c r="T13" i="6"/>
  <c r="U13" i="6" s="1"/>
  <c r="X13" i="6"/>
  <c r="T12" i="6"/>
  <c r="U12" i="6" s="1"/>
  <c r="T11" i="6"/>
  <c r="U11" i="6" s="1"/>
  <c r="T10" i="6"/>
  <c r="U10" i="6" s="1"/>
  <c r="T9" i="6"/>
  <c r="U9" i="6" s="1"/>
  <c r="E9" i="6"/>
  <c r="C1" i="6"/>
  <c r="M3" i="6" s="1"/>
  <c r="X9" i="6" l="1"/>
  <c r="G28" i="3"/>
  <c r="X30" i="6"/>
  <c r="G40" i="3"/>
  <c r="X42" i="6"/>
  <c r="G44" i="3"/>
  <c r="X46" i="6"/>
  <c r="G48" i="3"/>
  <c r="X50" i="6"/>
  <c r="G52" i="3"/>
  <c r="X54" i="6"/>
  <c r="G56" i="3"/>
  <c r="X58" i="6"/>
  <c r="G60" i="3"/>
  <c r="X62" i="6"/>
  <c r="G64" i="3"/>
  <c r="X66" i="6"/>
  <c r="G68" i="3"/>
  <c r="X70" i="6"/>
  <c r="G72" i="3"/>
  <c r="X74" i="6"/>
  <c r="G76" i="3"/>
  <c r="X78" i="6"/>
  <c r="G80" i="3"/>
  <c r="X82" i="6"/>
  <c r="G20" i="3"/>
  <c r="X22" i="6"/>
  <c r="G21" i="3"/>
  <c r="X23" i="6"/>
  <c r="G37" i="3"/>
  <c r="X39" i="6"/>
  <c r="G57" i="3"/>
  <c r="X59" i="6"/>
  <c r="G61" i="3"/>
  <c r="X63" i="6"/>
  <c r="G65" i="3"/>
  <c r="X67" i="6"/>
  <c r="G69" i="3"/>
  <c r="X71" i="6"/>
  <c r="G73" i="3"/>
  <c r="X75" i="6"/>
  <c r="G77" i="3"/>
  <c r="X79" i="6"/>
  <c r="G81" i="3"/>
  <c r="X83" i="6"/>
  <c r="G24" i="3"/>
  <c r="X26" i="6"/>
  <c r="G29" i="3"/>
  <c r="X31" i="6"/>
  <c r="G49" i="3"/>
  <c r="X51" i="6"/>
  <c r="G26" i="3"/>
  <c r="X28" i="6"/>
  <c r="G34" i="3"/>
  <c r="X36" i="6"/>
  <c r="G42" i="3"/>
  <c r="X44" i="6"/>
  <c r="G50" i="3"/>
  <c r="X52" i="6"/>
  <c r="G62" i="3"/>
  <c r="X64" i="6"/>
  <c r="G78" i="3"/>
  <c r="X80" i="6"/>
  <c r="G32" i="3"/>
  <c r="X34" i="6"/>
  <c r="G33" i="3"/>
  <c r="X35" i="6"/>
  <c r="G41" i="3"/>
  <c r="X43" i="6"/>
  <c r="G22" i="3"/>
  <c r="X24" i="6"/>
  <c r="G30" i="3"/>
  <c r="X32" i="6"/>
  <c r="G38" i="3"/>
  <c r="X40" i="6"/>
  <c r="G46" i="3"/>
  <c r="X48" i="6"/>
  <c r="G54" i="3"/>
  <c r="X56" i="6"/>
  <c r="G58" i="3"/>
  <c r="X60" i="6"/>
  <c r="G66" i="3"/>
  <c r="X68" i="6"/>
  <c r="G70" i="3"/>
  <c r="X72" i="6"/>
  <c r="G74" i="3"/>
  <c r="X76" i="6"/>
  <c r="G19" i="3"/>
  <c r="X21" i="6"/>
  <c r="G25" i="3"/>
  <c r="X27" i="6"/>
  <c r="G45" i="3"/>
  <c r="X47" i="6"/>
  <c r="G23" i="3"/>
  <c r="X25" i="6"/>
  <c r="G31" i="3"/>
  <c r="X33" i="6"/>
  <c r="G35" i="3"/>
  <c r="X37" i="6"/>
  <c r="G43" i="3"/>
  <c r="X45" i="6"/>
  <c r="G51" i="3"/>
  <c r="X53" i="6"/>
  <c r="G55" i="3"/>
  <c r="X57" i="6"/>
  <c r="G63" i="3"/>
  <c r="X65" i="6"/>
  <c r="G67" i="3"/>
  <c r="X69" i="6"/>
  <c r="G71" i="3"/>
  <c r="X73" i="6"/>
  <c r="G75" i="3"/>
  <c r="X77" i="6"/>
  <c r="G79" i="3"/>
  <c r="X81" i="6"/>
  <c r="G36" i="3"/>
  <c r="X38" i="6"/>
  <c r="G53" i="3"/>
  <c r="X55" i="6"/>
  <c r="G27" i="3"/>
  <c r="X29" i="6"/>
  <c r="G39" i="3"/>
  <c r="X41" i="6"/>
  <c r="G47" i="3"/>
  <c r="X49" i="6"/>
  <c r="G59" i="3"/>
  <c r="X61" i="6"/>
  <c r="G14" i="3"/>
  <c r="X16" i="6"/>
  <c r="G15" i="3"/>
  <c r="X17" i="6"/>
  <c r="G16" i="3"/>
  <c r="X18" i="6"/>
  <c r="K9" i="6"/>
  <c r="M9" i="6" s="1"/>
  <c r="Q9" i="6" s="1"/>
  <c r="K33" i="6"/>
  <c r="M33" i="6" s="1"/>
  <c r="K49" i="6"/>
  <c r="M49" i="6" s="1"/>
  <c r="K60" i="6"/>
  <c r="M60" i="6" s="1"/>
  <c r="K76" i="6"/>
  <c r="M76" i="6" s="1"/>
  <c r="K23" i="6"/>
  <c r="M23" i="6" s="1"/>
  <c r="K31" i="6"/>
  <c r="K39" i="6"/>
  <c r="M39" i="6" s="1"/>
  <c r="K47" i="6"/>
  <c r="M47" i="6" s="1"/>
  <c r="K55" i="6"/>
  <c r="M55" i="6" s="1"/>
  <c r="K63" i="6"/>
  <c r="M63" i="6" s="1"/>
  <c r="K71" i="6"/>
  <c r="M71" i="6" s="1"/>
  <c r="K79" i="6"/>
  <c r="M79" i="6" s="1"/>
  <c r="K28" i="6"/>
  <c r="M28" i="6" s="1"/>
  <c r="K36" i="6"/>
  <c r="M36" i="6" s="1"/>
  <c r="K44" i="6"/>
  <c r="M44" i="6" s="1"/>
  <c r="K68" i="6"/>
  <c r="M68" i="6" s="1"/>
  <c r="K26" i="6"/>
  <c r="M26" i="6" s="1"/>
  <c r="K34" i="6"/>
  <c r="K42" i="6"/>
  <c r="M42" i="6" s="1"/>
  <c r="K50" i="6"/>
  <c r="M50" i="6" s="1"/>
  <c r="K58" i="6"/>
  <c r="M58" i="6" s="1"/>
  <c r="K66" i="6"/>
  <c r="K74" i="6"/>
  <c r="M74" i="6" s="1"/>
  <c r="K82" i="6"/>
  <c r="M82" i="6" s="1"/>
  <c r="K29" i="6"/>
  <c r="M29" i="6" s="1"/>
  <c r="K24" i="6"/>
  <c r="M24" i="6" s="1"/>
  <c r="K32" i="6"/>
  <c r="M32" i="6" s="1"/>
  <c r="K40" i="6"/>
  <c r="M40" i="6" s="1"/>
  <c r="K48" i="6"/>
  <c r="M48" i="6" s="1"/>
  <c r="K56" i="6"/>
  <c r="M56" i="6" s="1"/>
  <c r="K64" i="6"/>
  <c r="M64" i="6" s="1"/>
  <c r="K72" i="6"/>
  <c r="M72" i="6" s="1"/>
  <c r="K80" i="6"/>
  <c r="M80" i="6" s="1"/>
  <c r="K37" i="6"/>
  <c r="M37" i="6" s="1"/>
  <c r="K45" i="6"/>
  <c r="M45" i="6" s="1"/>
  <c r="K53" i="6"/>
  <c r="M53" i="6" s="1"/>
  <c r="K61" i="6"/>
  <c r="M61" i="6" s="1"/>
  <c r="K69" i="6"/>
  <c r="M69" i="6" s="1"/>
  <c r="K77" i="6"/>
  <c r="M77" i="6" s="1"/>
  <c r="K27" i="6"/>
  <c r="M27" i="6" s="1"/>
  <c r="K35" i="6"/>
  <c r="M35" i="6" s="1"/>
  <c r="K43" i="6"/>
  <c r="M43" i="6" s="1"/>
  <c r="K51" i="6"/>
  <c r="M51" i="6" s="1"/>
  <c r="K59" i="6"/>
  <c r="M59" i="6" s="1"/>
  <c r="K67" i="6"/>
  <c r="M67" i="6" s="1"/>
  <c r="K75" i="6"/>
  <c r="M75" i="6" s="1"/>
  <c r="K83" i="6"/>
  <c r="M83" i="6" s="1"/>
  <c r="K22" i="6"/>
  <c r="M22" i="6" s="1"/>
  <c r="K30" i="6"/>
  <c r="M30" i="6" s="1"/>
  <c r="K38" i="6"/>
  <c r="M38" i="6" s="1"/>
  <c r="K46" i="6"/>
  <c r="M46" i="6" s="1"/>
  <c r="K54" i="6"/>
  <c r="M54" i="6" s="1"/>
  <c r="K62" i="6"/>
  <c r="M62" i="6" s="1"/>
  <c r="K70" i="6"/>
  <c r="M70" i="6" s="1"/>
  <c r="K78" i="6"/>
  <c r="M78" i="6" s="1"/>
  <c r="K25" i="6"/>
  <c r="M25" i="6" s="1"/>
  <c r="K41" i="6"/>
  <c r="M41" i="6" s="1"/>
  <c r="K57" i="6"/>
  <c r="K65" i="6"/>
  <c r="M65" i="6" s="1"/>
  <c r="K73" i="6"/>
  <c r="M73" i="6" s="1"/>
  <c r="K81" i="6"/>
  <c r="M81" i="6" s="1"/>
  <c r="K52" i="6"/>
  <c r="M52" i="6" s="1"/>
  <c r="Q63" i="6"/>
  <c r="K21" i="6"/>
  <c r="M21" i="6" s="1"/>
  <c r="K20" i="6"/>
  <c r="M20" i="6" s="1"/>
  <c r="K19" i="6"/>
  <c r="M19" i="6" s="1"/>
  <c r="K18" i="6"/>
  <c r="M18" i="6" s="1"/>
  <c r="K15" i="6"/>
  <c r="K12" i="6"/>
  <c r="K11" i="6"/>
  <c r="K17" i="6"/>
  <c r="M17" i="6" s="1"/>
  <c r="K16" i="6"/>
  <c r="K14" i="6"/>
  <c r="K13" i="6"/>
  <c r="K10" i="6"/>
  <c r="H12" i="6"/>
  <c r="H10" i="3" s="1"/>
  <c r="L10" i="3" s="1"/>
  <c r="E10" i="3"/>
  <c r="E11" i="3"/>
  <c r="E12" i="3"/>
  <c r="E13" i="3"/>
  <c r="E80" i="3"/>
  <c r="E7"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1" i="3"/>
  <c r="E8" i="3"/>
  <c r="E9" i="3"/>
  <c r="G8" i="3"/>
  <c r="G7" i="3"/>
  <c r="G12" i="3"/>
  <c r="G11" i="3"/>
  <c r="H17" i="6"/>
  <c r="H15" i="3" s="1"/>
  <c r="H31" i="6"/>
  <c r="H29" i="3" s="1"/>
  <c r="H47" i="6"/>
  <c r="H45" i="3" s="1"/>
  <c r="H83" i="6"/>
  <c r="H81" i="3" s="1"/>
  <c r="H19" i="6"/>
  <c r="H17" i="3" s="1"/>
  <c r="H22" i="6"/>
  <c r="H20" i="3" s="1"/>
  <c r="H26" i="6"/>
  <c r="H24" i="3" s="1"/>
  <c r="H30" i="6"/>
  <c r="H28" i="3" s="1"/>
  <c r="H34" i="6"/>
  <c r="H32" i="3" s="1"/>
  <c r="H38" i="6"/>
  <c r="H36" i="3" s="1"/>
  <c r="H42" i="6"/>
  <c r="H40" i="3" s="1"/>
  <c r="H46" i="6"/>
  <c r="H44" i="3" s="1"/>
  <c r="H50" i="6"/>
  <c r="H48" i="3" s="1"/>
  <c r="H54" i="6"/>
  <c r="H52" i="3" s="1"/>
  <c r="H58" i="6"/>
  <c r="H56" i="3" s="1"/>
  <c r="H62" i="6"/>
  <c r="H60" i="3" s="1"/>
  <c r="H66" i="6"/>
  <c r="H64" i="3" s="1"/>
  <c r="H70" i="6"/>
  <c r="H68" i="3" s="1"/>
  <c r="H74" i="6"/>
  <c r="H72" i="3" s="1"/>
  <c r="H78" i="6"/>
  <c r="H76" i="3" s="1"/>
  <c r="H82" i="6"/>
  <c r="H80" i="3" s="1"/>
  <c r="H11" i="6"/>
  <c r="H9" i="3" s="1"/>
  <c r="H27" i="6"/>
  <c r="H25" i="3" s="1"/>
  <c r="H39" i="6"/>
  <c r="H37" i="3" s="1"/>
  <c r="H55" i="6"/>
  <c r="H53" i="3" s="1"/>
  <c r="H21" i="6"/>
  <c r="H19" i="3" s="1"/>
  <c r="H25" i="6"/>
  <c r="H23" i="3" s="1"/>
  <c r="H29" i="6"/>
  <c r="H27" i="3" s="1"/>
  <c r="H33" i="6"/>
  <c r="H31" i="3" s="1"/>
  <c r="H37" i="6"/>
  <c r="H35" i="3" s="1"/>
  <c r="H41" i="6"/>
  <c r="H39" i="3" s="1"/>
  <c r="H45" i="6"/>
  <c r="H43" i="3" s="1"/>
  <c r="H49" i="6"/>
  <c r="H47" i="3" s="1"/>
  <c r="H53" i="6"/>
  <c r="H51" i="3" s="1"/>
  <c r="H57" i="6"/>
  <c r="H55" i="3" s="1"/>
  <c r="H61" i="6"/>
  <c r="H59" i="3" s="1"/>
  <c r="H65" i="6"/>
  <c r="H63" i="3" s="1"/>
  <c r="H69" i="6"/>
  <c r="H67" i="3" s="1"/>
  <c r="H73" i="6"/>
  <c r="H71" i="3" s="1"/>
  <c r="H77" i="6"/>
  <c r="H75" i="3" s="1"/>
  <c r="H81" i="6"/>
  <c r="H79" i="3" s="1"/>
  <c r="H23" i="6"/>
  <c r="H21" i="3" s="1"/>
  <c r="H35" i="6"/>
  <c r="H33" i="3" s="1"/>
  <c r="H43" i="6"/>
  <c r="H41" i="3" s="1"/>
  <c r="H51" i="6"/>
  <c r="H49" i="3" s="1"/>
  <c r="H59" i="6"/>
  <c r="H57" i="3" s="1"/>
  <c r="H63" i="6"/>
  <c r="H61" i="3" s="1"/>
  <c r="H67" i="6"/>
  <c r="H65" i="3" s="1"/>
  <c r="H71" i="6"/>
  <c r="H69" i="3" s="1"/>
  <c r="H75" i="6"/>
  <c r="H73" i="3" s="1"/>
  <c r="H79" i="6"/>
  <c r="H77" i="3" s="1"/>
  <c r="H18" i="6"/>
  <c r="H16" i="3" s="1"/>
  <c r="H20" i="6"/>
  <c r="H18" i="3" s="1"/>
  <c r="H24" i="6"/>
  <c r="H22" i="3" s="1"/>
  <c r="H28" i="6"/>
  <c r="H26" i="3" s="1"/>
  <c r="H32" i="6"/>
  <c r="H30" i="3" s="1"/>
  <c r="H36" i="6"/>
  <c r="H34" i="3" s="1"/>
  <c r="H40" i="6"/>
  <c r="H38" i="3" s="1"/>
  <c r="H44" i="6"/>
  <c r="H42" i="3" s="1"/>
  <c r="H48" i="6"/>
  <c r="H46" i="3" s="1"/>
  <c r="H52" i="6"/>
  <c r="H50" i="3" s="1"/>
  <c r="H56" i="6"/>
  <c r="H54" i="3" s="1"/>
  <c r="H60" i="6"/>
  <c r="H58" i="3" s="1"/>
  <c r="H64" i="6"/>
  <c r="H62" i="3" s="1"/>
  <c r="H68" i="6"/>
  <c r="H66" i="3" s="1"/>
  <c r="H72" i="6"/>
  <c r="H70" i="3" s="1"/>
  <c r="H76" i="6"/>
  <c r="H74" i="3" s="1"/>
  <c r="H80" i="6"/>
  <c r="H78" i="3" s="1"/>
  <c r="H16" i="6"/>
  <c r="H14" i="3" s="1"/>
  <c r="H15" i="6"/>
  <c r="H13" i="3" s="1"/>
  <c r="H14" i="6"/>
  <c r="H12" i="3" s="1"/>
  <c r="H13" i="6"/>
  <c r="H11" i="3" s="1"/>
  <c r="H10" i="6"/>
  <c r="H8" i="3" s="1"/>
  <c r="H9" i="6"/>
  <c r="H7" i="3" s="1"/>
  <c r="C4" i="6" a="1"/>
  <c r="C4" i="6" s="1"/>
  <c r="C34" i="1"/>
  <c r="C33" i="1"/>
  <c r="C32" i="1"/>
  <c r="E2" i="3" l="1" a="1"/>
  <c r="E2" i="3" s="1"/>
  <c r="Q57" i="6"/>
  <c r="M57" i="6"/>
  <c r="Q34" i="6"/>
  <c r="M34" i="6"/>
  <c r="Q66" i="6"/>
  <c r="M66" i="6"/>
  <c r="Q31" i="6"/>
  <c r="M31" i="6"/>
  <c r="M13" i="6"/>
  <c r="Q13" i="6" s="1"/>
  <c r="Q16" i="6"/>
  <c r="M16" i="6"/>
  <c r="M11" i="6"/>
  <c r="Q11" i="6" s="1"/>
  <c r="M12" i="6"/>
  <c r="Q12" i="6" s="1"/>
  <c r="Q10" i="6"/>
  <c r="M10" i="6"/>
  <c r="Q14" i="6"/>
  <c r="M14" i="6"/>
  <c r="M15" i="6"/>
  <c r="Q15" i="6" s="1"/>
  <c r="Q17" i="6"/>
  <c r="Q73" i="6"/>
  <c r="Q82" i="6"/>
  <c r="Q50" i="6"/>
  <c r="Q79" i="6"/>
  <c r="Q47" i="6"/>
  <c r="Q74" i="6"/>
  <c r="Q42" i="6"/>
  <c r="Q71" i="6"/>
  <c r="Q39" i="6"/>
  <c r="Q81" i="6"/>
  <c r="Q58" i="6"/>
  <c r="Q26" i="6"/>
  <c r="Q55" i="6"/>
  <c r="Q23" i="6"/>
  <c r="Q25" i="6"/>
  <c r="Q54" i="6"/>
  <c r="Q22" i="6"/>
  <c r="Q59" i="6"/>
  <c r="Q27" i="6"/>
  <c r="Q53" i="6"/>
  <c r="Q72" i="6"/>
  <c r="Q40" i="6"/>
  <c r="Q68" i="6"/>
  <c r="Q76" i="6"/>
  <c r="Q65" i="6"/>
  <c r="Q78" i="6"/>
  <c r="Q46" i="6"/>
  <c r="Q83" i="6"/>
  <c r="Q51" i="6"/>
  <c r="Q77" i="6"/>
  <c r="Q45" i="6"/>
  <c r="Q64" i="6"/>
  <c r="Q32" i="6"/>
  <c r="Q44" i="6"/>
  <c r="Q60" i="6"/>
  <c r="Q52" i="6"/>
  <c r="Q70" i="6"/>
  <c r="Q38" i="6"/>
  <c r="Q75" i="6"/>
  <c r="Q43" i="6"/>
  <c r="Q69" i="6"/>
  <c r="Q37" i="6"/>
  <c r="Q56" i="6"/>
  <c r="Q24" i="6"/>
  <c r="Q36" i="6"/>
  <c r="Q49" i="6"/>
  <c r="Q41" i="6"/>
  <c r="Q62" i="6"/>
  <c r="Q30" i="6"/>
  <c r="Q67" i="6"/>
  <c r="Q35" i="6"/>
  <c r="Q61" i="6"/>
  <c r="Q80" i="6"/>
  <c r="Q48" i="6"/>
  <c r="Q29" i="6"/>
  <c r="Q28" i="6"/>
  <c r="Q33" i="6"/>
  <c r="Q21" i="6"/>
  <c r="Q20" i="6"/>
  <c r="Q19" i="6"/>
  <c r="Q18" i="6"/>
  <c r="K10" i="3"/>
  <c r="I10" i="3"/>
  <c r="J10" i="3"/>
  <c r="N10" i="3"/>
  <c r="M10" i="3"/>
  <c r="M7" i="3"/>
  <c r="N7" i="3"/>
  <c r="L7" i="3"/>
  <c r="K7" i="3"/>
  <c r="I7" i="3"/>
  <c r="J7" i="3"/>
  <c r="N11" i="3"/>
  <c r="K11" i="3"/>
  <c r="M11" i="3"/>
  <c r="L11" i="3"/>
  <c r="I11" i="3"/>
  <c r="J11" i="3"/>
  <c r="J17" i="3"/>
  <c r="K17" i="3"/>
  <c r="I17" i="3"/>
  <c r="L17" i="3"/>
  <c r="M17" i="3"/>
  <c r="N17" i="3"/>
  <c r="L81" i="3"/>
  <c r="M81" i="3"/>
  <c r="J81" i="3"/>
  <c r="N81" i="3"/>
  <c r="I81" i="3"/>
  <c r="K81" i="3"/>
  <c r="J45" i="3"/>
  <c r="N45" i="3"/>
  <c r="K45" i="3"/>
  <c r="I45" i="3"/>
  <c r="L45" i="3"/>
  <c r="M45" i="3"/>
  <c r="J29" i="3"/>
  <c r="N29" i="3"/>
  <c r="K29" i="3"/>
  <c r="I29" i="3"/>
  <c r="L29" i="3"/>
  <c r="M29" i="3"/>
  <c r="J12" i="3"/>
  <c r="N12" i="3"/>
  <c r="I12" i="3"/>
  <c r="K12" i="3"/>
  <c r="M12" i="3"/>
  <c r="L12" i="3"/>
  <c r="I14" i="3"/>
  <c r="K14" i="3"/>
  <c r="M14" i="3"/>
  <c r="J14" i="3"/>
  <c r="N14" i="3"/>
  <c r="L14" i="3"/>
  <c r="N78" i="3"/>
  <c r="I78" i="3"/>
  <c r="J78" i="3"/>
  <c r="K78" i="3"/>
  <c r="L78" i="3"/>
  <c r="M78" i="3"/>
  <c r="I74" i="3"/>
  <c r="J74" i="3"/>
  <c r="N74" i="3"/>
  <c r="K74" i="3"/>
  <c r="L74" i="3"/>
  <c r="M74" i="3"/>
  <c r="I70" i="3"/>
  <c r="J70" i="3"/>
  <c r="N70" i="3"/>
  <c r="K70" i="3"/>
  <c r="L70" i="3"/>
  <c r="M70" i="3"/>
  <c r="J66" i="3"/>
  <c r="N66" i="3"/>
  <c r="I66" i="3"/>
  <c r="K66" i="3"/>
  <c r="L66" i="3"/>
  <c r="M66" i="3"/>
  <c r="K62" i="3"/>
  <c r="L62" i="3"/>
  <c r="M62" i="3"/>
  <c r="J62" i="3"/>
  <c r="N62" i="3"/>
  <c r="I62" i="3"/>
  <c r="L58" i="3"/>
  <c r="N58" i="3"/>
  <c r="I58" i="3"/>
  <c r="M58" i="3"/>
  <c r="J58" i="3"/>
  <c r="K58" i="3"/>
  <c r="K54" i="3"/>
  <c r="L54" i="3"/>
  <c r="M54" i="3"/>
  <c r="J54" i="3"/>
  <c r="N54" i="3"/>
  <c r="I54" i="3"/>
  <c r="L50" i="3"/>
  <c r="N50" i="3"/>
  <c r="I50" i="3"/>
  <c r="M50" i="3"/>
  <c r="J50" i="3"/>
  <c r="K50" i="3"/>
  <c r="I46" i="3"/>
  <c r="K46" i="3"/>
  <c r="M46" i="3"/>
  <c r="J46" i="3"/>
  <c r="N46" i="3"/>
  <c r="L46" i="3"/>
  <c r="L42" i="3"/>
  <c r="N42" i="3"/>
  <c r="I42" i="3"/>
  <c r="K42" i="3"/>
  <c r="M42" i="3"/>
  <c r="J42" i="3"/>
  <c r="L38" i="3"/>
  <c r="J38" i="3"/>
  <c r="N38" i="3"/>
  <c r="I38" i="3"/>
  <c r="K38" i="3"/>
  <c r="M38" i="3"/>
  <c r="L34" i="3"/>
  <c r="M34" i="3"/>
  <c r="J34" i="3"/>
  <c r="N34" i="3"/>
  <c r="I34" i="3"/>
  <c r="K34" i="3"/>
  <c r="I30" i="3"/>
  <c r="K30" i="3"/>
  <c r="M30" i="3"/>
  <c r="J30" i="3"/>
  <c r="N30" i="3"/>
  <c r="L30" i="3"/>
  <c r="L26" i="3"/>
  <c r="N26" i="3"/>
  <c r="I26" i="3"/>
  <c r="K26" i="3"/>
  <c r="M26" i="3"/>
  <c r="J26" i="3"/>
  <c r="L22" i="3"/>
  <c r="J22" i="3"/>
  <c r="N22" i="3"/>
  <c r="I22" i="3"/>
  <c r="K22" i="3"/>
  <c r="M22" i="3"/>
  <c r="L18" i="3"/>
  <c r="M18" i="3"/>
  <c r="J18" i="3"/>
  <c r="N18" i="3"/>
  <c r="I18" i="3"/>
  <c r="K18" i="3"/>
  <c r="M80" i="3"/>
  <c r="N80" i="3"/>
  <c r="J80" i="3"/>
  <c r="L80" i="3"/>
  <c r="K80" i="3"/>
  <c r="I80" i="3"/>
  <c r="N76" i="3"/>
  <c r="J76" i="3"/>
  <c r="M76" i="3"/>
  <c r="L76" i="3"/>
  <c r="K76" i="3"/>
  <c r="I76" i="3"/>
  <c r="J72" i="3"/>
  <c r="M72" i="3"/>
  <c r="N72" i="3"/>
  <c r="L72" i="3"/>
  <c r="K72" i="3"/>
  <c r="I72" i="3"/>
  <c r="J68" i="3"/>
  <c r="M68" i="3"/>
  <c r="N68" i="3"/>
  <c r="L68" i="3"/>
  <c r="K68" i="3"/>
  <c r="I68" i="3"/>
  <c r="M64" i="3"/>
  <c r="N64" i="3"/>
  <c r="J64" i="3"/>
  <c r="K64" i="3"/>
  <c r="L64" i="3"/>
  <c r="I64" i="3"/>
  <c r="M60" i="3"/>
  <c r="L60" i="3"/>
  <c r="J60" i="3"/>
  <c r="N60" i="3"/>
  <c r="I60" i="3"/>
  <c r="K60" i="3"/>
  <c r="N56" i="3"/>
  <c r="I56" i="3"/>
  <c r="K56" i="3"/>
  <c r="M56" i="3"/>
  <c r="L56" i="3"/>
  <c r="J56" i="3"/>
  <c r="M52" i="3"/>
  <c r="L52" i="3"/>
  <c r="J52" i="3"/>
  <c r="N52" i="3"/>
  <c r="I52" i="3"/>
  <c r="K52" i="3"/>
  <c r="N48" i="3"/>
  <c r="I48" i="3"/>
  <c r="K48" i="3"/>
  <c r="M48" i="3"/>
  <c r="L48" i="3"/>
  <c r="J48" i="3"/>
  <c r="J44" i="3"/>
  <c r="N44" i="3"/>
  <c r="I44" i="3"/>
  <c r="K44" i="3"/>
  <c r="M44" i="3"/>
  <c r="L44" i="3"/>
  <c r="M40" i="3"/>
  <c r="L40" i="3"/>
  <c r="J40" i="3"/>
  <c r="N40" i="3"/>
  <c r="I40" i="3"/>
  <c r="K40" i="3"/>
  <c r="I36" i="3"/>
  <c r="K36" i="3"/>
  <c r="M36" i="3"/>
  <c r="L36" i="3"/>
  <c r="J36" i="3"/>
  <c r="N36" i="3"/>
  <c r="N32" i="3"/>
  <c r="I32" i="3"/>
  <c r="K32" i="3"/>
  <c r="M32" i="3"/>
  <c r="L32" i="3"/>
  <c r="J32" i="3"/>
  <c r="J28" i="3"/>
  <c r="N28" i="3"/>
  <c r="I28" i="3"/>
  <c r="K28" i="3"/>
  <c r="M28" i="3"/>
  <c r="L28" i="3"/>
  <c r="M24" i="3"/>
  <c r="L24" i="3"/>
  <c r="J24" i="3"/>
  <c r="N24" i="3"/>
  <c r="I24" i="3"/>
  <c r="K24" i="3"/>
  <c r="I20" i="3"/>
  <c r="K20" i="3"/>
  <c r="M20" i="3"/>
  <c r="L20" i="3"/>
  <c r="J20" i="3"/>
  <c r="N20" i="3"/>
  <c r="J13" i="3"/>
  <c r="N13" i="3"/>
  <c r="K13" i="3"/>
  <c r="I13" i="3"/>
  <c r="L13" i="3"/>
  <c r="M13" i="3"/>
  <c r="L77" i="3"/>
  <c r="M77" i="3"/>
  <c r="J77" i="3"/>
  <c r="N77" i="3"/>
  <c r="I77" i="3"/>
  <c r="K77" i="3"/>
  <c r="L73" i="3"/>
  <c r="M73" i="3"/>
  <c r="J73" i="3"/>
  <c r="N73" i="3"/>
  <c r="I73" i="3"/>
  <c r="K73" i="3"/>
  <c r="L69" i="3"/>
  <c r="M69" i="3"/>
  <c r="J69" i="3"/>
  <c r="N69" i="3"/>
  <c r="I69" i="3"/>
  <c r="K69" i="3"/>
  <c r="L65" i="3"/>
  <c r="M65" i="3"/>
  <c r="J65" i="3"/>
  <c r="N65" i="3"/>
  <c r="I65" i="3"/>
  <c r="K65" i="3"/>
  <c r="J61" i="3"/>
  <c r="L61" i="3"/>
  <c r="M61" i="3"/>
  <c r="N61" i="3"/>
  <c r="K61" i="3"/>
  <c r="I61" i="3"/>
  <c r="J57" i="3"/>
  <c r="I57" i="3"/>
  <c r="N57" i="3"/>
  <c r="K57" i="3"/>
  <c r="L57" i="3"/>
  <c r="M57" i="3"/>
  <c r="I49" i="3"/>
  <c r="J49" i="3"/>
  <c r="N49" i="3"/>
  <c r="K49" i="3"/>
  <c r="L49" i="3"/>
  <c r="M49" i="3"/>
  <c r="M41" i="3"/>
  <c r="N41" i="3"/>
  <c r="K41" i="3"/>
  <c r="I41" i="3"/>
  <c r="L41" i="3"/>
  <c r="J41" i="3"/>
  <c r="J33" i="3"/>
  <c r="K33" i="3"/>
  <c r="I33" i="3"/>
  <c r="L33" i="3"/>
  <c r="M33" i="3"/>
  <c r="N33" i="3"/>
  <c r="J21" i="3"/>
  <c r="L21" i="3"/>
  <c r="M21" i="3"/>
  <c r="N21" i="3"/>
  <c r="K21" i="3"/>
  <c r="I21" i="3"/>
  <c r="K79" i="3"/>
  <c r="L79" i="3"/>
  <c r="N79" i="3"/>
  <c r="I79" i="3"/>
  <c r="M79" i="3"/>
  <c r="J79" i="3"/>
  <c r="K75" i="3"/>
  <c r="L75" i="3"/>
  <c r="N75" i="3"/>
  <c r="I75" i="3"/>
  <c r="M75" i="3"/>
  <c r="J75" i="3"/>
  <c r="L71" i="3"/>
  <c r="K71" i="3"/>
  <c r="N71" i="3"/>
  <c r="I71" i="3"/>
  <c r="M71" i="3"/>
  <c r="J71" i="3"/>
  <c r="K67" i="3"/>
  <c r="L67" i="3"/>
  <c r="N67" i="3"/>
  <c r="I67" i="3"/>
  <c r="M67" i="3"/>
  <c r="J67" i="3"/>
  <c r="N63" i="3"/>
  <c r="L63" i="3"/>
  <c r="I63" i="3"/>
  <c r="J63" i="3"/>
  <c r="K63" i="3"/>
  <c r="M63" i="3"/>
  <c r="M59" i="3"/>
  <c r="N59" i="3"/>
  <c r="J59" i="3"/>
  <c r="K59" i="3"/>
  <c r="L59" i="3"/>
  <c r="I59" i="3"/>
  <c r="N55" i="3"/>
  <c r="L55" i="3"/>
  <c r="I55" i="3"/>
  <c r="J55" i="3"/>
  <c r="K55" i="3"/>
  <c r="M55" i="3"/>
  <c r="M51" i="3"/>
  <c r="N51" i="3"/>
  <c r="J51" i="3"/>
  <c r="K51" i="3"/>
  <c r="L51" i="3"/>
  <c r="I51" i="3"/>
  <c r="N47" i="3"/>
  <c r="L47" i="3"/>
  <c r="I47" i="3"/>
  <c r="J47" i="3"/>
  <c r="K47" i="3"/>
  <c r="M47" i="3"/>
  <c r="N43" i="3"/>
  <c r="K43" i="3"/>
  <c r="M43" i="3"/>
  <c r="L43" i="3"/>
  <c r="I43" i="3"/>
  <c r="J43" i="3"/>
  <c r="N39" i="3"/>
  <c r="J39" i="3"/>
  <c r="K39" i="3"/>
  <c r="M39" i="3"/>
  <c r="L39" i="3"/>
  <c r="I39" i="3"/>
  <c r="I35" i="3"/>
  <c r="J35" i="3"/>
  <c r="K35" i="3"/>
  <c r="M35" i="3"/>
  <c r="L35" i="3"/>
  <c r="N35" i="3"/>
  <c r="N31" i="3"/>
  <c r="L31" i="3"/>
  <c r="I31" i="3"/>
  <c r="J31" i="3"/>
  <c r="K31" i="3"/>
  <c r="M31" i="3"/>
  <c r="N27" i="3"/>
  <c r="K27" i="3"/>
  <c r="M27" i="3"/>
  <c r="L27" i="3"/>
  <c r="I27" i="3"/>
  <c r="J27" i="3"/>
  <c r="N23" i="3"/>
  <c r="J23" i="3"/>
  <c r="K23" i="3"/>
  <c r="M23" i="3"/>
  <c r="L23" i="3"/>
  <c r="I23" i="3"/>
  <c r="I19" i="3"/>
  <c r="J19" i="3"/>
  <c r="K19" i="3"/>
  <c r="M19" i="3"/>
  <c r="L19" i="3"/>
  <c r="N19" i="3"/>
  <c r="N15" i="3"/>
  <c r="L15" i="3"/>
  <c r="I15" i="3"/>
  <c r="J15" i="3"/>
  <c r="K15" i="3"/>
  <c r="M15" i="3"/>
  <c r="M8" i="3"/>
  <c r="J8" i="3"/>
  <c r="N8" i="3"/>
  <c r="I8" i="3"/>
  <c r="K8" i="3"/>
  <c r="L8" i="3"/>
  <c r="N16" i="3"/>
  <c r="I16" i="3"/>
  <c r="K16" i="3"/>
  <c r="M16" i="3"/>
  <c r="L16" i="3"/>
  <c r="J16" i="3"/>
  <c r="J53" i="3"/>
  <c r="L53" i="3"/>
  <c r="M53" i="3"/>
  <c r="N53" i="3"/>
  <c r="K53" i="3"/>
  <c r="I53" i="3"/>
  <c r="J37" i="3"/>
  <c r="L37" i="3"/>
  <c r="M37" i="3"/>
  <c r="N37" i="3"/>
  <c r="K37" i="3"/>
  <c r="I37" i="3"/>
  <c r="M25" i="3"/>
  <c r="N25" i="3"/>
  <c r="K25" i="3"/>
  <c r="I25" i="3"/>
  <c r="L25" i="3"/>
  <c r="J25" i="3"/>
  <c r="M9" i="3"/>
  <c r="N9" i="3"/>
  <c r="K9" i="3"/>
  <c r="I9" i="3"/>
  <c r="L9" i="3"/>
  <c r="J9" i="3"/>
  <c r="I3" i="3" l="1"/>
  <c r="K4" i="6"/>
  <c r="M4" i="6" s="1"/>
  <c r="C37" i="1" l="1"/>
  <c r="Q86" i="6"/>
  <c r="Q4" i="6"/>
  <c r="M85" i="6"/>
  <c r="O7" i="3" l="1"/>
  <c r="O2" i="3" s="1" a="1"/>
  <c r="O2" i="3" s="1"/>
  <c r="R8" i="3" l="1"/>
  <c r="R9" i="3"/>
  <c r="R12" i="3"/>
  <c r="R13" i="3"/>
  <c r="R14" i="3"/>
  <c r="R15" i="3"/>
  <c r="R17" i="3"/>
  <c r="R18" i="3"/>
  <c r="R19" i="3"/>
  <c r="R20" i="3"/>
  <c r="R21" i="3"/>
  <c r="R22" i="3"/>
  <c r="R23" i="3"/>
  <c r="R24" i="3"/>
  <c r="R25" i="3"/>
  <c r="R26" i="3"/>
  <c r="R27" i="3"/>
  <c r="R28" i="3"/>
  <c r="R29" i="3"/>
  <c r="R30" i="3"/>
  <c r="R31" i="3"/>
  <c r="R32" i="3"/>
  <c r="R33" i="3"/>
  <c r="R34" i="3"/>
  <c r="R35" i="3"/>
  <c r="R36" i="3"/>
  <c r="R37" i="3"/>
  <c r="R38" i="3"/>
  <c r="R39" i="3"/>
  <c r="R40" i="3"/>
  <c r="R41" i="3"/>
  <c r="R42" i="3"/>
  <c r="R43" i="3"/>
  <c r="R44" i="3"/>
  <c r="R45" i="3"/>
  <c r="R46" i="3"/>
  <c r="R47" i="3"/>
  <c r="R48" i="3"/>
  <c r="R49" i="3"/>
  <c r="R50" i="3"/>
  <c r="R52" i="3"/>
  <c r="R53" i="3"/>
  <c r="R54" i="3"/>
  <c r="R55" i="3"/>
  <c r="R56" i="3"/>
  <c r="R57" i="3"/>
  <c r="R58" i="3"/>
  <c r="R59" i="3"/>
  <c r="R60" i="3"/>
  <c r="R61" i="3"/>
  <c r="R62" i="3"/>
  <c r="R63" i="3"/>
  <c r="R64" i="3"/>
  <c r="R65" i="3"/>
  <c r="R66" i="3"/>
  <c r="R67" i="3"/>
  <c r="R68" i="3"/>
  <c r="R69" i="3"/>
  <c r="R70" i="3"/>
  <c r="R71" i="3"/>
  <c r="R72" i="3"/>
  <c r="R73" i="3"/>
  <c r="R74" i="3"/>
  <c r="R75" i="3"/>
  <c r="R76" i="3"/>
  <c r="R77" i="3"/>
  <c r="R78" i="3"/>
  <c r="R79" i="3"/>
  <c r="R81" i="3"/>
  <c r="R80" i="3"/>
  <c r="R51" i="3"/>
  <c r="R16" i="3"/>
  <c r="F4" i="3"/>
  <c r="F3" i="3"/>
  <c r="R11" i="3" l="1"/>
  <c r="R7" i="3"/>
  <c r="R10" i="3"/>
  <c r="B2" i="3" l="1" a="1"/>
  <c r="B2" i="3" s="1"/>
  <c r="N5" i="3" l="1"/>
  <c r="L5" i="3"/>
  <c r="J4" i="3"/>
  <c r="N4" i="3"/>
  <c r="L4" i="3"/>
  <c r="J2" i="3"/>
  <c r="N3" i="3"/>
  <c r="L3" i="3"/>
  <c r="I4" i="3"/>
  <c r="N2" i="3"/>
  <c r="L2" i="3"/>
  <c r="I2" i="3"/>
  <c r="M5" i="3"/>
  <c r="K2" i="3"/>
  <c r="K5" i="3"/>
  <c r="M4" i="3"/>
  <c r="M3" i="3"/>
  <c r="M2" i="3"/>
  <c r="K3" i="3"/>
  <c r="K4" i="3"/>
  <c r="G5" i="3"/>
  <c r="J3" i="3"/>
  <c r="I5" i="3"/>
  <c r="J5" i="3"/>
  <c r="G3" i="3"/>
  <c r="G2" i="3"/>
  <c r="G4" i="3"/>
</calcChain>
</file>

<file path=xl/sharedStrings.xml><?xml version="1.0" encoding="utf-8"?>
<sst xmlns="http://schemas.openxmlformats.org/spreadsheetml/2006/main" count="183" uniqueCount="145">
  <si>
    <t>Land</t>
  </si>
  <si>
    <t>E-mail</t>
  </si>
  <si>
    <t>Categorie</t>
  </si>
  <si>
    <t>Trainingen</t>
  </si>
  <si>
    <t>Clinic</t>
  </si>
  <si>
    <t>BIC</t>
  </si>
  <si>
    <t>Disclaimer</t>
  </si>
  <si>
    <t>15-</t>
  </si>
  <si>
    <t>15+</t>
  </si>
  <si>
    <t>Coach</t>
  </si>
  <si>
    <t>Grens U15</t>
  </si>
  <si>
    <t>Jaargang</t>
  </si>
  <si>
    <t>Hele stage</t>
  </si>
  <si>
    <t>Training</t>
  </si>
  <si>
    <t>Club</t>
  </si>
  <si>
    <t>Nr</t>
  </si>
  <si>
    <t>Voornaam</t>
  </si>
  <si>
    <t>Achternaam</t>
  </si>
  <si>
    <t>Geboortejaar</t>
  </si>
  <si>
    <t>Ja/Nee</t>
  </si>
  <si>
    <t>Complete naam</t>
  </si>
  <si>
    <t>Hulpkolom</t>
  </si>
  <si>
    <t>ACHTERNAAM, Voornaam</t>
  </si>
  <si>
    <t>Vervoer hotel</t>
  </si>
  <si>
    <t>Kosten vervoer</t>
  </si>
  <si>
    <t>Kosten stage</t>
  </si>
  <si>
    <t>Vervoer schiphol</t>
  </si>
  <si>
    <t>Totalen</t>
  </si>
  <si>
    <t>Personen</t>
  </si>
  <si>
    <t>Verenigingen</t>
  </si>
  <si>
    <t>Betaald</t>
  </si>
  <si>
    <t>15- / 15+</t>
  </si>
  <si>
    <t>Landen</t>
  </si>
  <si>
    <t>Hotel</t>
  </si>
  <si>
    <t>Opmerkingen</t>
  </si>
  <si>
    <t>Volgorde van inschrijven</t>
  </si>
  <si>
    <t>Jaar</t>
  </si>
  <si>
    <t>Vereniging</t>
  </si>
  <si>
    <t>Judoka</t>
  </si>
  <si>
    <t>Aankomstdag</t>
  </si>
  <si>
    <t>Atlas Brielle</t>
  </si>
  <si>
    <t>Atlas Spijkenisse</t>
  </si>
  <si>
    <t>Sluiskop</t>
  </si>
  <si>
    <t>Vlaardingen</t>
  </si>
  <si>
    <t>NL49RABO0329524178</t>
  </si>
  <si>
    <t>RABONL2U</t>
  </si>
  <si>
    <t>15- / 15+ / Coach</t>
  </si>
  <si>
    <t>Opties</t>
  </si>
  <si>
    <t>Overnachtingen</t>
  </si>
  <si>
    <t>Nachten</t>
  </si>
  <si>
    <t>Opties stage</t>
  </si>
  <si>
    <t>ID</t>
  </si>
  <si>
    <t>Aantal</t>
  </si>
  <si>
    <t>Aantal trainingen</t>
  </si>
  <si>
    <t>Bedrag</t>
  </si>
  <si>
    <t>Kosten trainingen</t>
  </si>
  <si>
    <t>Data aanwezig</t>
  </si>
  <si>
    <t>Ja / Nee</t>
  </si>
  <si>
    <t>1 Training</t>
  </si>
  <si>
    <t>2 Training</t>
  </si>
  <si>
    <t>3 Training</t>
  </si>
  <si>
    <t>4 Training</t>
  </si>
  <si>
    <t>5 Training</t>
  </si>
  <si>
    <t>6 Training</t>
  </si>
  <si>
    <t>De Korte Sport- en Gezondheidsinstituut</t>
  </si>
  <si>
    <t>Clinic per persoon</t>
  </si>
  <si>
    <t>Registration form</t>
  </si>
  <si>
    <t>Club Name</t>
  </si>
  <si>
    <t>Address</t>
  </si>
  <si>
    <t>Postal code</t>
  </si>
  <si>
    <t>City</t>
  </si>
  <si>
    <t>Country</t>
  </si>
  <si>
    <t>Phone</t>
  </si>
  <si>
    <t>If available: flight details</t>
  </si>
  <si>
    <t>Incoming flight</t>
  </si>
  <si>
    <t>Outbound flight</t>
  </si>
  <si>
    <t>Further remarks and/or special requests</t>
  </si>
  <si>
    <t>Information for Participants list (tab Participants)</t>
  </si>
  <si>
    <t>Category</t>
  </si>
  <si>
    <t>To be provided by the participating judo-club</t>
  </si>
  <si>
    <t>b: 3 training sessions</t>
  </si>
  <si>
    <t>c: 2 training sessions</t>
  </si>
  <si>
    <t>d: 1 training sessions</t>
  </si>
  <si>
    <t>First name</t>
  </si>
  <si>
    <t>Last name</t>
  </si>
  <si>
    <t>Year of birth</t>
  </si>
  <si>
    <t>Option</t>
  </si>
  <si>
    <t>Training sessions</t>
  </si>
  <si>
    <t>Participate in 4-6 training sessions</t>
  </si>
  <si>
    <t>Single training session</t>
  </si>
  <si>
    <t>Payment details</t>
  </si>
  <si>
    <t>Total cost</t>
  </si>
  <si>
    <t>Bank account</t>
  </si>
  <si>
    <t>Account holder</t>
  </si>
  <si>
    <t>Description of payment</t>
  </si>
  <si>
    <t>Last day of payment</t>
  </si>
  <si>
    <t>Total amount for all participants</t>
  </si>
  <si>
    <t>4) The personal data of judokas and trainer/coaches provided by the participating club is only used for administration purposes for participating in this training camp. This personal data will not be disclosed to third parties.</t>
  </si>
  <si>
    <t>Coaches who want to participate in (other) training sessions (also see Disclaimer number 5)</t>
  </si>
  <si>
    <t>Yes/No</t>
  </si>
  <si>
    <t>Yes</t>
  </si>
  <si>
    <t>No</t>
  </si>
  <si>
    <t>Partly</t>
  </si>
  <si>
    <t>Yes/Partly/No</t>
  </si>
  <si>
    <t>Number of persons:</t>
  </si>
  <si>
    <t>Costs</t>
  </si>
  <si>
    <t>Costs training sessions:</t>
  </si>
  <si>
    <t>Costs clinics</t>
  </si>
  <si>
    <t>Payment</t>
  </si>
  <si>
    <t>Total paid</t>
  </si>
  <si>
    <t>To be filled in by the organisation</t>
  </si>
  <si>
    <t>Paid</t>
  </si>
  <si>
    <t>Name</t>
  </si>
  <si>
    <t>Year</t>
  </si>
  <si>
    <t>Select the desired number of training sessions, if different from club-choice</t>
  </si>
  <si>
    <t>Num. training sessions</t>
  </si>
  <si>
    <t>Training sessions per person</t>
  </si>
  <si>
    <t>Sub-total per person</t>
  </si>
  <si>
    <t>Whole club?</t>
  </si>
  <si>
    <t>Individual?</t>
  </si>
  <si>
    <t>Date</t>
  </si>
  <si>
    <t>Ja</t>
  </si>
  <si>
    <t>Nee</t>
  </si>
  <si>
    <t>Contact person</t>
  </si>
  <si>
    <t>6) We still have to deal with Covid-19, therefore we advise every participant to be fully vaccinated.  Currently we expect no additional measures such as conducting an antigen test upon arrival at the training camp. 
If the Covid-19 protocol is changed prior to the training camp, we will inform you through our Telegram Channel.</t>
  </si>
  <si>
    <t>Provide all details in the green cells, they will be used as default for all the participants of your club, in the "Participants" tab sheet.
On the "Participants" tab sheets, only the white cells and the "Category" can be entered by the club.
Light yellow cells are filled in automatically by the template. Light blue fields here below are used by the template to calculate the cost estimate for the entire application.</t>
  </si>
  <si>
    <r>
      <t xml:space="preserve">Participants will be allocated automatically into "15-" or "15+", based on year of birth.
If desired, a judoka can be assigned another category (e.g. for lighter -18 or heavier -15 athletes), this is done by manually selecting "15-" or "15+" in the Category-cell, for this person.
</t>
    </r>
    <r>
      <rPr>
        <b/>
        <sz val="12"/>
        <color theme="1"/>
        <rFont val="Calibri"/>
        <family val="2"/>
        <scheme val="minor"/>
      </rPr>
      <t>For trainers and coaches, select "Coach" in the Category-cell.</t>
    </r>
  </si>
  <si>
    <t>Participate per training session, applicable to 1-3 training sessions</t>
  </si>
  <si>
    <t>Calculating recursively: CTRL + SHIFT + ENTER</t>
  </si>
  <si>
    <t>trainingsstage@dekorte.nl</t>
  </si>
  <si>
    <t>Option training camp club</t>
  </si>
  <si>
    <t>In case a trainer/coach (for instance when supporting the 15- group of his club) also wants to participate in a number of 15+ sessions himself, he/she has to be registered twice: 1x as Coach and 1x as participant for the number of sessions he wants to participate in.
During the check-in, he/she will receive two cards, so that he/she can participate both as trainer/coach and as athlete during the other sessions.</t>
  </si>
  <si>
    <t>a: Whole training camp</t>
  </si>
  <si>
    <t xml:space="preserve">5) Each club can apply for as many coach cards as needed. It goes without saying that we appreciate the participation of trainer/coaches during sessions of his/her pupils to increase the high level of the training camp. However, the coach cards are not to be used for the trainer/coach to fully participate in (other) training sessions him/herself. </t>
  </si>
  <si>
    <t>In cell B16 select the number of training sessions your club wants to participate.
This will automatically be filled in column F of the "Participants" tab sheet.
Then where needed, per participant the number of training sessions can be adjusted as desired.
The template will automatically calculate the amount owed for the entire club.
The two middle days have 2 sessions per category. Participating in the two middle days of the training camp translates to 4 sessions, which will cost the same as for the entire training camp (6 sessions).</t>
  </si>
  <si>
    <t>Complete training camp</t>
  </si>
  <si>
    <t>Only for -10, -12 end -15 judokas</t>
  </si>
  <si>
    <t>Contact information</t>
  </si>
  <si>
    <t>After filling in this registration form, please save the file, adding the name of your club to the filename and send the completed file to the email address above.</t>
  </si>
  <si>
    <t>3) By providing this entry form, the trainer/coach in question provides his consent to the organisation to make and use photo and video material of the training camp for promotional purposes. For any questions please contact Mark van der Ham.</t>
  </si>
  <si>
    <t>First day of participation</t>
  </si>
  <si>
    <t>6) For hotel reservations we kindly ask al teams to contact the hotel themselves. If anyone needs help finding a hotel or with transport airport-hotel, or transport hotel-training venue please let us know. We will support every individual case.</t>
  </si>
  <si>
    <t>7) In case your group requires transportation to/from the airport, please contact the organisation of the training camp, so that they can assist you in getting the desired level of transport.</t>
  </si>
  <si>
    <r>
      <t>23</t>
    </r>
    <r>
      <rPr>
        <vertAlign val="superscript"/>
        <sz val="12"/>
        <color theme="1"/>
        <rFont val="Calibri"/>
        <family val="2"/>
        <scheme val="minor"/>
      </rPr>
      <t>rd</t>
    </r>
  </si>
  <si>
    <t>8) The price for participation without pre-registration will be 22.50 Euro per training or 85 Euro for the complete training camp, preferably paid with PIN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</si>
</sst>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quot;€&quot;* #,##0.00_-;\-&quot;€&quot;* #,##0.00_-;_-&quot;€&quot;* &quot;-&quot;??_-;_-@_-"/>
    <numFmt numFmtId="165" formatCode="[$-413]d\ mmmm\ yyyy;@"/>
  </numFmts>
  <fonts count="14" x14ac:knownFonts="1">
    <font>
      <sz val="12"/>
      <color theme="1"/>
      <name val="Calibri"/>
      <family val="2"/>
      <scheme val="minor"/>
    </font>
    <font>
      <sz val="12"/>
      <color theme="1"/>
      <name val="Calibri"/>
      <family val="2"/>
      <scheme val="minor"/>
    </font>
    <font>
      <b/>
      <sz val="12"/>
      <color theme="0"/>
      <name val="Calibri"/>
      <family val="2"/>
      <scheme val="minor"/>
    </font>
    <font>
      <b/>
      <sz val="12"/>
      <color theme="1"/>
      <name val="Calibri"/>
      <family val="2"/>
      <scheme val="minor"/>
    </font>
    <font>
      <u/>
      <sz val="12"/>
      <color theme="10"/>
      <name val="Calibri"/>
      <family val="2"/>
      <scheme val="minor"/>
    </font>
    <font>
      <vertAlign val="superscript"/>
      <sz val="12"/>
      <color theme="1"/>
      <name val="Calibri"/>
      <family val="2"/>
      <scheme val="minor"/>
    </font>
    <font>
      <b/>
      <sz val="10"/>
      <color theme="1"/>
      <name val="Calibri"/>
      <family val="2"/>
      <scheme val="minor"/>
    </font>
    <font>
      <i/>
      <sz val="12"/>
      <color theme="1"/>
      <name val="Calibri"/>
      <family val="2"/>
      <scheme val="minor"/>
    </font>
    <font>
      <b/>
      <sz val="16"/>
      <color theme="1"/>
      <name val="Calibri"/>
      <family val="2"/>
      <scheme val="minor"/>
    </font>
    <font>
      <sz val="10"/>
      <color theme="1"/>
      <name val="Calibri"/>
      <family val="2"/>
      <scheme val="minor"/>
    </font>
    <font>
      <i/>
      <sz val="10"/>
      <color theme="1"/>
      <name val="Calibri"/>
      <family val="2"/>
      <scheme val="minor"/>
    </font>
    <font>
      <b/>
      <i/>
      <sz val="12"/>
      <color theme="1"/>
      <name val="Calibri"/>
      <family val="2"/>
      <scheme val="minor"/>
    </font>
    <font>
      <sz val="16"/>
      <color theme="1"/>
      <name val="Calibri"/>
      <family val="2"/>
      <scheme val="minor"/>
    </font>
    <font>
      <b/>
      <sz val="14"/>
      <color theme="1"/>
      <name val="Calibri"/>
      <family val="2"/>
      <scheme val="minor"/>
    </font>
  </fonts>
  <fills count="16">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FFC000"/>
        <bgColor indexed="64"/>
      </patternFill>
    </fill>
    <fill>
      <patternFill patternType="solid">
        <fgColor rgb="FFFF0000"/>
        <bgColor indexed="64"/>
      </patternFill>
    </fill>
    <fill>
      <patternFill patternType="solid">
        <fgColor theme="9" tint="-0.249977111117893"/>
        <bgColor indexed="64"/>
      </patternFill>
    </fill>
    <fill>
      <patternFill patternType="solid">
        <fgColor theme="4" tint="-0.249977111117893"/>
        <bgColor indexed="64"/>
      </patternFill>
    </fill>
    <fill>
      <patternFill patternType="solid">
        <fgColor rgb="FF9999FF"/>
        <bgColor indexed="64"/>
      </patternFill>
    </fill>
    <fill>
      <patternFill patternType="solid">
        <fgColor rgb="FFCCCCFF"/>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FF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s>
  <cellStyleXfs count="3">
    <xf numFmtId="0" fontId="0" fillId="0" borderId="0"/>
    <xf numFmtId="164" fontId="1" fillId="0" borderId="0" applyFont="0" applyFill="0" applyBorder="0" applyAlignment="0" applyProtection="0"/>
    <xf numFmtId="0" fontId="4" fillId="0" borderId="0" applyNumberFormat="0" applyFill="0" applyBorder="0" applyAlignment="0" applyProtection="0"/>
  </cellStyleXfs>
  <cellXfs count="181">
    <xf numFmtId="0" fontId="0" fillId="0" borderId="0" xfId="0"/>
    <xf numFmtId="0" fontId="3" fillId="0" borderId="2" xfId="0" applyFont="1" applyBorder="1"/>
    <xf numFmtId="0" fontId="0" fillId="0" borderId="3" xfId="0" quotePrefix="1" applyBorder="1"/>
    <xf numFmtId="0" fontId="0" fillId="0" borderId="4" xfId="0" quotePrefix="1" applyBorder="1"/>
    <xf numFmtId="0" fontId="0" fillId="0" borderId="5" xfId="0" applyBorder="1"/>
    <xf numFmtId="0" fontId="0" fillId="0" borderId="5" xfId="0" applyBorder="1" applyAlignment="1">
      <alignment horizontal="left"/>
    </xf>
    <xf numFmtId="0" fontId="3" fillId="0" borderId="2" xfId="0" applyFont="1" applyBorder="1" applyAlignment="1">
      <alignment horizontal="left"/>
    </xf>
    <xf numFmtId="0" fontId="0" fillId="0" borderId="3" xfId="0" applyBorder="1" applyAlignment="1">
      <alignment horizontal="left"/>
    </xf>
    <xf numFmtId="0" fontId="0" fillId="0" borderId="8" xfId="0" applyBorder="1"/>
    <xf numFmtId="0" fontId="0" fillId="0" borderId="9" xfId="0" applyBorder="1"/>
    <xf numFmtId="0" fontId="3" fillId="0" borderId="11" xfId="0" applyFont="1" applyBorder="1" applyAlignment="1">
      <alignment horizontal="center"/>
    </xf>
    <xf numFmtId="0" fontId="3" fillId="0" borderId="12" xfId="0" applyFont="1" applyBorder="1" applyAlignment="1">
      <alignment horizontal="center"/>
    </xf>
    <xf numFmtId="164" fontId="0" fillId="0" borderId="8" xfId="1" applyFont="1" applyBorder="1"/>
    <xf numFmtId="164" fontId="0" fillId="0" borderId="9" xfId="1" applyFont="1" applyBorder="1"/>
    <xf numFmtId="0" fontId="3" fillId="2" borderId="0" xfId="0" applyFont="1" applyFill="1" applyAlignment="1" applyProtection="1">
      <alignment vertical="top" wrapText="1"/>
    </xf>
    <xf numFmtId="0" fontId="8" fillId="2" borderId="0" xfId="0" applyFont="1" applyFill="1" applyAlignment="1" applyProtection="1">
      <alignment vertical="top" wrapText="1"/>
    </xf>
    <xf numFmtId="0" fontId="0" fillId="0" borderId="1" xfId="0" applyBorder="1" applyProtection="1">
      <protection locked="0"/>
    </xf>
    <xf numFmtId="0" fontId="0" fillId="0" borderId="4" xfId="0" applyBorder="1"/>
    <xf numFmtId="0" fontId="9" fillId="0" borderId="0" xfId="0" applyFont="1" applyAlignment="1" applyProtection="1">
      <alignment horizontal="left" vertical="top"/>
      <protection locked="0"/>
    </xf>
    <xf numFmtId="0" fontId="9" fillId="0" borderId="0" xfId="0" applyFont="1" applyBorder="1" applyAlignment="1" applyProtection="1">
      <alignment horizontal="left" vertical="top"/>
      <protection locked="0"/>
    </xf>
    <xf numFmtId="0" fontId="3" fillId="8" borderId="1" xfId="0" applyFont="1" applyFill="1" applyBorder="1" applyAlignment="1" applyProtection="1">
      <alignment horizontal="center" vertical="top" wrapText="1"/>
    </xf>
    <xf numFmtId="0" fontId="3" fillId="8" borderId="17" xfId="0" applyFont="1" applyFill="1" applyBorder="1" applyAlignment="1" applyProtection="1">
      <alignment horizontal="center" vertical="top" wrapText="1"/>
    </xf>
    <xf numFmtId="0" fontId="3" fillId="10" borderId="1" xfId="0" applyFont="1" applyFill="1" applyBorder="1" applyProtection="1">
      <protection locked="0"/>
    </xf>
    <xf numFmtId="0" fontId="3" fillId="8" borderId="0" xfId="0" applyFont="1" applyFill="1" applyBorder="1" applyAlignment="1" applyProtection="1">
      <alignment horizontal="center" vertical="top" wrapText="1"/>
    </xf>
    <xf numFmtId="0" fontId="3" fillId="9" borderId="0" xfId="0" applyFont="1" applyFill="1" applyBorder="1" applyAlignment="1" applyProtection="1">
      <alignment horizontal="center" vertical="top"/>
    </xf>
    <xf numFmtId="164" fontId="0" fillId="0" borderId="5" xfId="1" applyFont="1" applyBorder="1"/>
    <xf numFmtId="0" fontId="0" fillId="0" borderId="19" xfId="0" applyBorder="1"/>
    <xf numFmtId="0" fontId="3" fillId="3" borderId="1" xfId="0" applyFont="1" applyFill="1" applyBorder="1" applyAlignment="1" applyProtection="1">
      <alignment vertical="top" wrapText="1"/>
      <protection locked="0"/>
    </xf>
    <xf numFmtId="0" fontId="0" fillId="3" borderId="1" xfId="0" applyFont="1" applyFill="1" applyBorder="1" applyAlignment="1" applyProtection="1">
      <alignment vertical="top" wrapText="1"/>
      <protection locked="0"/>
    </xf>
    <xf numFmtId="0" fontId="0" fillId="3" borderId="1" xfId="0" applyFont="1" applyFill="1" applyBorder="1" applyAlignment="1" applyProtection="1">
      <alignment horizontal="left" vertical="top" wrapText="1"/>
      <protection locked="0"/>
    </xf>
    <xf numFmtId="14" fontId="0" fillId="3" borderId="1" xfId="0" applyNumberFormat="1" applyFont="1" applyFill="1" applyBorder="1" applyAlignment="1" applyProtection="1">
      <alignment horizontal="left" vertical="top" wrapText="1"/>
      <protection locked="0"/>
    </xf>
    <xf numFmtId="0" fontId="3" fillId="12" borderId="13" xfId="0" applyFont="1" applyFill="1" applyBorder="1" applyAlignment="1" applyProtection="1">
      <alignment horizontal="left" vertical="top" wrapText="1"/>
    </xf>
    <xf numFmtId="0" fontId="3" fillId="12" borderId="1" xfId="0" applyFont="1" applyFill="1" applyBorder="1" applyAlignment="1" applyProtection="1">
      <alignment horizontal="center" vertical="top" wrapText="1"/>
    </xf>
    <xf numFmtId="0" fontId="3" fillId="8" borderId="1" xfId="0" applyFont="1" applyFill="1" applyBorder="1" applyAlignment="1" applyProtection="1">
      <alignment horizontal="left" vertical="top" wrapText="1"/>
    </xf>
    <xf numFmtId="0" fontId="3" fillId="8" borderId="17" xfId="0" applyFont="1" applyFill="1" applyBorder="1" applyAlignment="1" applyProtection="1">
      <alignment horizontal="left" vertical="top" wrapText="1"/>
    </xf>
    <xf numFmtId="0" fontId="3" fillId="11" borderId="1" xfId="0" applyFont="1" applyFill="1" applyBorder="1" applyAlignment="1" applyProtection="1">
      <alignment horizontal="center" vertical="top"/>
    </xf>
    <xf numFmtId="0" fontId="3" fillId="10" borderId="1" xfId="0" applyFont="1" applyFill="1" applyBorder="1"/>
    <xf numFmtId="0" fontId="3" fillId="10" borderId="1" xfId="0" applyFont="1" applyFill="1" applyBorder="1" applyAlignment="1" applyProtection="1">
      <alignment horizontal="left"/>
      <protection locked="0"/>
    </xf>
    <xf numFmtId="0" fontId="3" fillId="10" borderId="1" xfId="0" applyFont="1" applyFill="1" applyBorder="1" applyAlignment="1" applyProtection="1">
      <alignment horizontal="left" wrapText="1"/>
      <protection locked="0"/>
    </xf>
    <xf numFmtId="0" fontId="0" fillId="14" borderId="1" xfId="0" applyFill="1" applyBorder="1"/>
    <xf numFmtId="0" fontId="0" fillId="0" borderId="1" xfId="0" quotePrefix="1" applyBorder="1" applyProtection="1">
      <protection locked="0"/>
    </xf>
    <xf numFmtId="0" fontId="0" fillId="14" borderId="1" xfId="0" applyFill="1" applyBorder="1" applyAlignment="1" applyProtection="1">
      <alignment horizontal="left" wrapText="1"/>
    </xf>
    <xf numFmtId="0" fontId="0" fillId="0" borderId="21" xfId="0" applyBorder="1"/>
    <xf numFmtId="0" fontId="3" fillId="0" borderId="22" xfId="0" applyFont="1" applyBorder="1"/>
    <xf numFmtId="0" fontId="0" fillId="0" borderId="3" xfId="0" quotePrefix="1" applyBorder="1" applyAlignment="1">
      <alignment horizontal="left"/>
    </xf>
    <xf numFmtId="0" fontId="0" fillId="0" borderId="4" xfId="0" quotePrefix="1" applyBorder="1" applyAlignment="1">
      <alignment horizontal="left"/>
    </xf>
    <xf numFmtId="0" fontId="0" fillId="0" borderId="3" xfId="0" applyBorder="1"/>
    <xf numFmtId="0" fontId="0" fillId="2" borderId="0" xfId="0" applyFont="1" applyFill="1" applyAlignment="1" applyProtection="1">
      <alignment vertical="top"/>
    </xf>
    <xf numFmtId="0" fontId="0" fillId="0" borderId="0" xfId="0" applyFont="1" applyAlignment="1" applyProtection="1">
      <alignment vertical="top"/>
    </xf>
    <xf numFmtId="0" fontId="0" fillId="2" borderId="0" xfId="0" applyFont="1" applyFill="1" applyAlignment="1" applyProtection="1">
      <alignment vertical="top" wrapText="1"/>
    </xf>
    <xf numFmtId="0" fontId="7" fillId="2" borderId="0" xfId="0" applyFont="1" applyFill="1" applyAlignment="1" applyProtection="1">
      <alignment vertical="top"/>
    </xf>
    <xf numFmtId="0" fontId="0" fillId="2" borderId="0" xfId="0" applyFont="1" applyFill="1" applyAlignment="1" applyProtection="1">
      <alignment horizontal="left" vertical="top"/>
    </xf>
    <xf numFmtId="0" fontId="3" fillId="2" borderId="0" xfId="0" applyFont="1" applyFill="1" applyAlignment="1" applyProtection="1">
      <alignment vertical="top"/>
    </xf>
    <xf numFmtId="0" fontId="11" fillId="2" borderId="0" xfId="0" applyFont="1" applyFill="1" applyAlignment="1" applyProtection="1">
      <alignment vertical="top"/>
    </xf>
    <xf numFmtId="0" fontId="0" fillId="2" borderId="0" xfId="0" applyFont="1" applyFill="1" applyAlignment="1" applyProtection="1">
      <alignment horizontal="left" vertical="top" wrapText="1"/>
    </xf>
    <xf numFmtId="164" fontId="0" fillId="2" borderId="0" xfId="1" applyFont="1" applyFill="1" applyAlignment="1" applyProtection="1">
      <alignment vertical="top"/>
    </xf>
    <xf numFmtId="164" fontId="3" fillId="0" borderId="0" xfId="1" applyFont="1" applyFill="1" applyAlignment="1" applyProtection="1">
      <alignment vertical="top"/>
    </xf>
    <xf numFmtId="164" fontId="3" fillId="13" borderId="1" xfId="1" applyFont="1" applyFill="1" applyBorder="1" applyAlignment="1" applyProtection="1">
      <alignment vertical="top"/>
    </xf>
    <xf numFmtId="44" fontId="3" fillId="4" borderId="2" xfId="0" applyNumberFormat="1" applyFont="1" applyFill="1" applyBorder="1" applyAlignment="1" applyProtection="1">
      <alignment horizontal="left" vertical="top"/>
    </xf>
    <xf numFmtId="0" fontId="0" fillId="4" borderId="0" xfId="0" applyFont="1" applyFill="1" applyAlignment="1" applyProtection="1">
      <alignment vertical="top" wrapText="1"/>
    </xf>
    <xf numFmtId="165" fontId="3" fillId="2" borderId="0" xfId="0" applyNumberFormat="1" applyFont="1" applyFill="1" applyAlignment="1" applyProtection="1">
      <alignment horizontal="left" vertical="top" wrapText="1"/>
    </xf>
    <xf numFmtId="0" fontId="7" fillId="2" borderId="0" xfId="0" applyFont="1" applyFill="1" applyAlignment="1" applyProtection="1">
      <alignment vertical="top" wrapText="1"/>
    </xf>
    <xf numFmtId="0" fontId="4" fillId="2" borderId="0" xfId="2" applyFill="1" applyAlignment="1" applyProtection="1">
      <alignment vertical="top" wrapText="1"/>
    </xf>
    <xf numFmtId="0" fontId="0" fillId="0" borderId="0" xfId="0" applyFont="1" applyAlignment="1" applyProtection="1">
      <alignment vertical="top" wrapText="1"/>
    </xf>
    <xf numFmtId="0" fontId="3" fillId="0" borderId="3" xfId="0" applyFont="1" applyBorder="1"/>
    <xf numFmtId="0" fontId="0" fillId="0" borderId="5" xfId="0" applyFill="1" applyBorder="1"/>
    <xf numFmtId="0" fontId="2" fillId="10" borderId="0" xfId="0" applyFont="1" applyFill="1" applyAlignment="1" applyProtection="1">
      <alignment horizontal="left" vertical="top"/>
    </xf>
    <xf numFmtId="0" fontId="2" fillId="0" borderId="0" xfId="0" applyFont="1" applyAlignment="1" applyProtection="1">
      <alignment horizontal="left" vertical="top"/>
    </xf>
    <xf numFmtId="0" fontId="2" fillId="2" borderId="0" xfId="0" applyFont="1" applyFill="1" applyAlignment="1" applyProtection="1">
      <alignment horizontal="left" vertical="top"/>
    </xf>
    <xf numFmtId="164" fontId="2" fillId="2" borderId="0" xfId="1" applyFont="1" applyFill="1" applyAlignment="1" applyProtection="1">
      <alignment horizontal="left" vertical="top"/>
    </xf>
    <xf numFmtId="164" fontId="2" fillId="2" borderId="0" xfId="1" applyFont="1" applyFill="1" applyAlignment="1" applyProtection="1">
      <alignment horizontal="left" vertical="top" wrapText="1"/>
    </xf>
    <xf numFmtId="0" fontId="6" fillId="0" borderId="0" xfId="0" applyFont="1" applyAlignment="1" applyProtection="1">
      <alignment horizontal="left" vertical="top"/>
    </xf>
    <xf numFmtId="0" fontId="6" fillId="0" borderId="0" xfId="0" applyFont="1" applyAlignment="1" applyProtection="1">
      <alignment horizontal="left" vertical="top" wrapText="1"/>
    </xf>
    <xf numFmtId="0" fontId="6" fillId="12" borderId="3" xfId="0" applyFont="1" applyFill="1" applyBorder="1" applyAlignment="1" applyProtection="1">
      <alignment horizontal="left" vertical="top" wrapText="1"/>
    </xf>
    <xf numFmtId="0" fontId="6" fillId="10" borderId="0" xfId="0" applyFont="1" applyFill="1" applyAlignment="1" applyProtection="1">
      <alignment horizontal="left" vertical="top"/>
    </xf>
    <xf numFmtId="164" fontId="6" fillId="12" borderId="3" xfId="1" applyFont="1" applyFill="1" applyBorder="1" applyAlignment="1" applyProtection="1">
      <alignment horizontal="left" vertical="top" wrapText="1"/>
    </xf>
    <xf numFmtId="164" fontId="6" fillId="0" borderId="0" xfId="1" applyFont="1" applyAlignment="1" applyProtection="1">
      <alignment horizontal="left" vertical="top" wrapText="1"/>
    </xf>
    <xf numFmtId="164" fontId="6" fillId="0" borderId="0" xfId="1" applyFont="1" applyAlignment="1" applyProtection="1">
      <alignment horizontal="left" vertical="top"/>
    </xf>
    <xf numFmtId="0" fontId="6" fillId="11" borderId="5" xfId="0" applyFont="1" applyFill="1" applyBorder="1" applyAlignment="1" applyProtection="1">
      <alignment horizontal="left" vertical="top"/>
    </xf>
    <xf numFmtId="164" fontId="6" fillId="11" borderId="5" xfId="0" applyNumberFormat="1" applyFont="1" applyFill="1" applyBorder="1" applyAlignment="1" applyProtection="1">
      <alignment horizontal="left" vertical="top"/>
    </xf>
    <xf numFmtId="164" fontId="6" fillId="11" borderId="5" xfId="1" applyFont="1" applyFill="1" applyBorder="1" applyAlignment="1" applyProtection="1">
      <alignment horizontal="left" vertical="top"/>
    </xf>
    <xf numFmtId="0" fontId="6" fillId="0" borderId="0" xfId="0" applyFont="1" applyBorder="1" applyAlignment="1" applyProtection="1">
      <alignment horizontal="left" vertical="top"/>
    </xf>
    <xf numFmtId="0" fontId="9" fillId="0" borderId="0" xfId="0" applyFont="1" applyAlignment="1" applyProtection="1">
      <alignment horizontal="left" vertical="top"/>
    </xf>
    <xf numFmtId="16" fontId="10" fillId="0" borderId="0" xfId="1" quotePrefix="1" applyNumberFormat="1" applyFont="1" applyAlignment="1" applyProtection="1">
      <alignment horizontal="left" vertical="top" wrapText="1"/>
    </xf>
    <xf numFmtId="164" fontId="10" fillId="0" borderId="0" xfId="1" applyFont="1" applyAlignment="1" applyProtection="1">
      <alignment horizontal="left" vertical="top" wrapText="1"/>
    </xf>
    <xf numFmtId="164" fontId="9" fillId="11" borderId="0" xfId="1" applyFont="1" applyFill="1" applyAlignment="1" applyProtection="1">
      <alignment horizontal="left" vertical="top"/>
    </xf>
    <xf numFmtId="0" fontId="9" fillId="10" borderId="0" xfId="0" applyFont="1" applyFill="1" applyBorder="1" applyAlignment="1" applyProtection="1">
      <alignment horizontal="left" vertical="top"/>
    </xf>
    <xf numFmtId="0" fontId="0" fillId="0" borderId="0" xfId="0" applyBorder="1" applyProtection="1"/>
    <xf numFmtId="164" fontId="9" fillId="0" borderId="0" xfId="1" applyFont="1" applyAlignment="1" applyProtection="1">
      <alignment horizontal="left" vertical="top"/>
    </xf>
    <xf numFmtId="164" fontId="9" fillId="0" borderId="0" xfId="0" applyNumberFormat="1" applyFont="1" applyAlignment="1" applyProtection="1">
      <alignment horizontal="left" vertical="top"/>
    </xf>
    <xf numFmtId="0" fontId="9" fillId="0" borderId="14" xfId="0" applyFont="1" applyBorder="1" applyAlignment="1" applyProtection="1">
      <alignment horizontal="left" vertical="top"/>
    </xf>
    <xf numFmtId="0" fontId="0" fillId="0" borderId="0" xfId="0" applyFont="1" applyFill="1" applyAlignment="1" applyProtection="1">
      <alignment vertical="top" wrapText="1"/>
    </xf>
    <xf numFmtId="0" fontId="0" fillId="0" borderId="1" xfId="0" applyBorder="1"/>
    <xf numFmtId="0" fontId="6" fillId="10" borderId="0" xfId="0" applyFont="1" applyFill="1" applyAlignment="1" applyProtection="1">
      <alignment horizontal="left" vertical="top" wrapText="1"/>
    </xf>
    <xf numFmtId="0" fontId="9" fillId="0" borderId="0" xfId="0" applyFont="1" applyAlignment="1" applyProtection="1">
      <alignment horizontal="left" vertical="top" wrapText="1"/>
    </xf>
    <xf numFmtId="0" fontId="3" fillId="10" borderId="0" xfId="0" applyFont="1" applyFill="1" applyBorder="1" applyAlignment="1" applyProtection="1">
      <alignment wrapText="1"/>
    </xf>
    <xf numFmtId="0" fontId="10" fillId="0" borderId="0" xfId="0" applyFont="1" applyAlignment="1" applyProtection="1">
      <alignment horizontal="left" vertical="top" wrapText="1"/>
    </xf>
    <xf numFmtId="0" fontId="10" fillId="10" borderId="0" xfId="0" applyFont="1" applyFill="1" applyAlignment="1" applyProtection="1">
      <alignment horizontal="left" vertical="top" wrapText="1"/>
    </xf>
    <xf numFmtId="0" fontId="10" fillId="0" borderId="0" xfId="0" applyFont="1" applyBorder="1" applyAlignment="1" applyProtection="1">
      <alignment horizontal="left" vertical="top" wrapText="1"/>
    </xf>
    <xf numFmtId="0" fontId="3" fillId="9" borderId="0" xfId="0" applyFont="1" applyFill="1" applyBorder="1" applyAlignment="1" applyProtection="1">
      <alignment horizontal="center" vertical="top" wrapText="1"/>
    </xf>
    <xf numFmtId="164" fontId="0" fillId="0" borderId="1" xfId="1" applyFont="1" applyBorder="1"/>
    <xf numFmtId="0" fontId="0" fillId="0" borderId="1" xfId="0" applyFill="1" applyBorder="1"/>
    <xf numFmtId="0" fontId="3" fillId="0" borderId="1" xfId="0" applyFont="1" applyBorder="1"/>
    <xf numFmtId="0" fontId="0" fillId="0" borderId="0" xfId="0" applyAlignment="1">
      <alignment horizontal="left"/>
    </xf>
    <xf numFmtId="0" fontId="3" fillId="0" borderId="1" xfId="0" applyFont="1" applyBorder="1" applyAlignment="1">
      <alignment horizontal="left"/>
    </xf>
    <xf numFmtId="0" fontId="0" fillId="0" borderId="1" xfId="0" applyBorder="1" applyAlignment="1">
      <alignment horizontal="left"/>
    </xf>
    <xf numFmtId="0" fontId="9" fillId="11" borderId="0" xfId="0" applyFont="1" applyFill="1" applyAlignment="1" applyProtection="1">
      <alignment horizontal="left" vertical="top" wrapText="1"/>
    </xf>
    <xf numFmtId="0" fontId="3" fillId="0" borderId="0" xfId="0" applyFont="1" applyBorder="1" applyAlignment="1"/>
    <xf numFmtId="49" fontId="0" fillId="0" borderId="1" xfId="0" applyNumberFormat="1" applyBorder="1"/>
    <xf numFmtId="0" fontId="0" fillId="0" borderId="0" xfId="0" applyBorder="1"/>
    <xf numFmtId="0" fontId="12" fillId="2" borderId="0" xfId="0" applyFont="1" applyFill="1" applyAlignment="1" applyProtection="1">
      <alignment vertical="top"/>
    </xf>
    <xf numFmtId="0" fontId="12" fillId="0" borderId="0" xfId="0" applyFont="1" applyAlignment="1" applyProtection="1">
      <alignment vertical="top"/>
    </xf>
    <xf numFmtId="0" fontId="13" fillId="2" borderId="0" xfId="0" applyFont="1" applyFill="1" applyAlignment="1" applyProtection="1">
      <alignment vertical="top"/>
    </xf>
    <xf numFmtId="14" fontId="13" fillId="3" borderId="1" xfId="0" applyNumberFormat="1" applyFont="1" applyFill="1" applyBorder="1" applyAlignment="1" applyProtection="1">
      <alignment horizontal="left" vertical="top" wrapText="1"/>
      <protection locked="0"/>
    </xf>
    <xf numFmtId="0" fontId="3" fillId="11" borderId="1" xfId="0" applyFont="1" applyFill="1" applyBorder="1" applyAlignment="1" applyProtection="1">
      <alignment horizontal="center" vertical="top"/>
    </xf>
    <xf numFmtId="0" fontId="3" fillId="12" borderId="1" xfId="0" applyFont="1" applyFill="1" applyBorder="1" applyAlignment="1" applyProtection="1">
      <alignment horizontal="center" vertical="top" wrapText="1"/>
    </xf>
    <xf numFmtId="0" fontId="0" fillId="2" borderId="1" xfId="0" applyFont="1" applyFill="1" applyBorder="1" applyAlignment="1" applyProtection="1">
      <alignment vertical="top"/>
    </xf>
    <xf numFmtId="0" fontId="0" fillId="2" borderId="1" xfId="0" applyFont="1" applyFill="1" applyBorder="1" applyAlignment="1" applyProtection="1">
      <alignment vertical="top" wrapText="1"/>
    </xf>
    <xf numFmtId="0" fontId="0" fillId="2" borderId="20" xfId="0" applyFont="1" applyFill="1" applyBorder="1" applyAlignment="1" applyProtection="1">
      <alignment vertical="top"/>
    </xf>
    <xf numFmtId="0" fontId="0" fillId="2" borderId="13" xfId="0" applyFont="1" applyFill="1" applyBorder="1" applyAlignment="1" applyProtection="1">
      <alignment vertical="top" wrapText="1"/>
    </xf>
    <xf numFmtId="0" fontId="0" fillId="2" borderId="20" xfId="0" applyFont="1" applyFill="1" applyBorder="1" applyAlignment="1" applyProtection="1">
      <alignment horizontal="left" vertical="top"/>
    </xf>
    <xf numFmtId="0" fontId="0" fillId="2" borderId="13" xfId="0" applyFont="1" applyFill="1" applyBorder="1" applyAlignment="1" applyProtection="1">
      <alignment horizontal="left" vertical="top" wrapText="1"/>
    </xf>
    <xf numFmtId="0" fontId="0" fillId="0" borderId="0" xfId="0" applyBorder="1" applyAlignment="1">
      <alignment horizontal="left"/>
    </xf>
    <xf numFmtId="49" fontId="0" fillId="0" borderId="0" xfId="0" applyNumberFormat="1" applyBorder="1"/>
    <xf numFmtId="0" fontId="0" fillId="0" borderId="0" xfId="0" applyFill="1" applyBorder="1"/>
    <xf numFmtId="0" fontId="2" fillId="10" borderId="0" xfId="0" applyFont="1" applyFill="1" applyAlignment="1" applyProtection="1">
      <alignment vertical="top"/>
    </xf>
    <xf numFmtId="164" fontId="2" fillId="7" borderId="0" xfId="1" applyFont="1" applyFill="1" applyAlignment="1" applyProtection="1">
      <alignment vertical="top"/>
    </xf>
    <xf numFmtId="0" fontId="3" fillId="8" borderId="0" xfId="0" applyFont="1" applyFill="1" applyBorder="1" applyAlignment="1" applyProtection="1">
      <alignment vertical="top" wrapText="1"/>
    </xf>
    <xf numFmtId="0" fontId="2" fillId="0" borderId="0" xfId="0" applyFont="1" applyAlignment="1" applyProtection="1">
      <alignment vertical="top"/>
    </xf>
    <xf numFmtId="0" fontId="2" fillId="6" borderId="0" xfId="0" applyFont="1" applyFill="1" applyAlignment="1" applyProtection="1">
      <alignment vertical="top"/>
    </xf>
    <xf numFmtId="0" fontId="3" fillId="0" borderId="1" xfId="0" applyFont="1" applyBorder="1" applyProtection="1">
      <protection locked="0"/>
    </xf>
    <xf numFmtId="164" fontId="9" fillId="0" borderId="14" xfId="1" applyFont="1" applyBorder="1" applyAlignment="1" applyProtection="1">
      <alignment horizontal="left" vertical="top" wrapText="1"/>
    </xf>
    <xf numFmtId="0" fontId="9" fillId="10" borderId="14" xfId="0" applyFont="1" applyFill="1" applyBorder="1" applyAlignment="1" applyProtection="1">
      <alignment horizontal="left" vertical="top"/>
    </xf>
    <xf numFmtId="164" fontId="9" fillId="0" borderId="14" xfId="1" applyFont="1" applyBorder="1" applyAlignment="1" applyProtection="1">
      <alignment horizontal="left" vertical="top"/>
    </xf>
    <xf numFmtId="0" fontId="9" fillId="0" borderId="15" xfId="0" applyFont="1" applyBorder="1" applyAlignment="1" applyProtection="1">
      <alignment horizontal="left" vertical="top"/>
    </xf>
    <xf numFmtId="0" fontId="9" fillId="0" borderId="16" xfId="0" applyFont="1" applyBorder="1" applyAlignment="1" applyProtection="1">
      <alignment horizontal="left" vertical="top"/>
    </xf>
    <xf numFmtId="0" fontId="0" fillId="0" borderId="0" xfId="0" applyBorder="1" applyProtection="1">
      <protection locked="0"/>
    </xf>
    <xf numFmtId="0" fontId="0" fillId="2" borderId="20" xfId="0" applyFont="1" applyFill="1" applyBorder="1" applyAlignment="1" applyProtection="1">
      <alignment horizontal="left" vertical="top" wrapText="1"/>
    </xf>
    <xf numFmtId="0" fontId="0" fillId="11" borderId="0" xfId="0" applyFill="1" applyBorder="1" applyProtection="1"/>
    <xf numFmtId="164" fontId="0" fillId="0" borderId="9" xfId="1" applyFont="1" applyFill="1" applyBorder="1"/>
    <xf numFmtId="0" fontId="3" fillId="12" borderId="1" xfId="0" applyFont="1" applyFill="1" applyBorder="1" applyAlignment="1" applyProtection="1">
      <alignment horizontal="center" vertical="top"/>
    </xf>
    <xf numFmtId="0" fontId="3" fillId="0" borderId="0" xfId="0" applyFont="1" applyBorder="1"/>
    <xf numFmtId="164" fontId="0" fillId="0" borderId="0" xfId="1" applyFont="1" applyFill="1" applyBorder="1"/>
    <xf numFmtId="164" fontId="0" fillId="0" borderId="0" xfId="0" applyNumberFormat="1" applyBorder="1"/>
    <xf numFmtId="164" fontId="0" fillId="0" borderId="0" xfId="1" applyFont="1" applyBorder="1"/>
    <xf numFmtId="0" fontId="11" fillId="15" borderId="0" xfId="0" applyFont="1" applyFill="1" applyAlignment="1" applyProtection="1">
      <alignment vertical="top"/>
    </xf>
    <xf numFmtId="0" fontId="0" fillId="15" borderId="0" xfId="0" applyFont="1" applyFill="1" applyAlignment="1" applyProtection="1">
      <alignment vertical="top" wrapText="1"/>
    </xf>
    <xf numFmtId="0" fontId="0" fillId="15" borderId="0" xfId="0" applyFont="1" applyFill="1" applyAlignment="1" applyProtection="1">
      <alignment vertical="top"/>
    </xf>
    <xf numFmtId="0" fontId="7" fillId="0" borderId="0" xfId="0" applyFont="1" applyAlignment="1" applyProtection="1">
      <alignment horizontal="left" vertical="top" wrapText="1"/>
    </xf>
    <xf numFmtId="0" fontId="11" fillId="2" borderId="0" xfId="0" applyFont="1" applyFill="1" applyAlignment="1" applyProtection="1">
      <alignment horizontal="center" vertical="top"/>
    </xf>
    <xf numFmtId="0" fontId="7" fillId="2" borderId="0" xfId="0" applyFont="1" applyFill="1" applyAlignment="1" applyProtection="1">
      <alignment horizontal="left" vertical="top" wrapText="1"/>
    </xf>
    <xf numFmtId="164" fontId="2" fillId="5" borderId="0" xfId="1" applyFont="1" applyFill="1" applyAlignment="1" applyProtection="1">
      <alignment vertical="top"/>
    </xf>
    <xf numFmtId="0" fontId="2" fillId="6" borderId="0" xfId="0" applyFont="1" applyFill="1" applyAlignment="1" applyProtection="1">
      <alignment vertical="top"/>
    </xf>
    <xf numFmtId="0" fontId="3" fillId="11" borderId="1" xfId="0" applyFont="1" applyFill="1" applyBorder="1" applyAlignment="1" applyProtection="1">
      <alignment horizontal="center" vertical="top"/>
    </xf>
    <xf numFmtId="0" fontId="3" fillId="9" borderId="17" xfId="0" applyFont="1" applyFill="1" applyBorder="1" applyAlignment="1" applyProtection="1">
      <alignment horizontal="left" vertical="top"/>
    </xf>
    <xf numFmtId="0" fontId="3" fillId="9" borderId="18" xfId="0" applyFont="1" applyFill="1" applyBorder="1" applyAlignment="1" applyProtection="1">
      <alignment horizontal="left" vertical="top"/>
    </xf>
    <xf numFmtId="0" fontId="3" fillId="9" borderId="10" xfId="0" applyFont="1" applyFill="1" applyBorder="1" applyAlignment="1" applyProtection="1">
      <alignment horizontal="left" vertical="top"/>
    </xf>
    <xf numFmtId="0" fontId="3" fillId="9" borderId="17" xfId="0" applyFont="1" applyFill="1" applyBorder="1" applyAlignment="1" applyProtection="1">
      <alignment horizontal="center" vertical="top"/>
    </xf>
    <xf numFmtId="0" fontId="3" fillId="9" borderId="18" xfId="0" applyFont="1" applyFill="1" applyBorder="1" applyAlignment="1" applyProtection="1">
      <alignment horizontal="center" vertical="top"/>
    </xf>
    <xf numFmtId="0" fontId="3" fillId="9" borderId="10" xfId="0" applyFont="1" applyFill="1" applyBorder="1" applyAlignment="1" applyProtection="1">
      <alignment horizontal="center" vertical="top"/>
    </xf>
    <xf numFmtId="0" fontId="3" fillId="11" borderId="17" xfId="0" applyFont="1" applyFill="1" applyBorder="1" applyAlignment="1" applyProtection="1">
      <alignment horizontal="center" vertical="top"/>
    </xf>
    <xf numFmtId="0" fontId="3" fillId="11" borderId="10" xfId="0" applyFont="1" applyFill="1" applyBorder="1" applyAlignment="1" applyProtection="1">
      <alignment horizontal="center" vertical="top"/>
    </xf>
    <xf numFmtId="0" fontId="3" fillId="12" borderId="1" xfId="0" applyFont="1" applyFill="1" applyBorder="1" applyAlignment="1" applyProtection="1">
      <alignment horizontal="center" vertical="top"/>
    </xf>
    <xf numFmtId="0" fontId="3" fillId="12" borderId="20" xfId="0" applyFont="1" applyFill="1" applyBorder="1" applyAlignment="1" applyProtection="1">
      <alignment horizontal="center" vertical="top" wrapText="1"/>
    </xf>
    <xf numFmtId="0" fontId="3" fillId="12" borderId="13" xfId="0" applyFont="1" applyFill="1" applyBorder="1" applyAlignment="1" applyProtection="1">
      <alignment horizontal="center" vertical="top" wrapText="1"/>
    </xf>
    <xf numFmtId="0" fontId="3" fillId="12" borderId="17" xfId="0" applyFont="1" applyFill="1" applyBorder="1" applyAlignment="1" applyProtection="1">
      <alignment horizontal="center" vertical="top" wrapText="1"/>
    </xf>
    <xf numFmtId="0" fontId="3" fillId="12" borderId="18" xfId="0" applyFont="1" applyFill="1" applyBorder="1" applyAlignment="1" applyProtection="1">
      <alignment horizontal="center" vertical="top" wrapText="1"/>
    </xf>
    <xf numFmtId="0" fontId="3" fillId="12" borderId="10" xfId="0" applyFont="1" applyFill="1" applyBorder="1" applyAlignment="1" applyProtection="1">
      <alignment horizontal="center" vertical="top" wrapText="1"/>
    </xf>
    <xf numFmtId="0" fontId="3" fillId="12" borderId="17" xfId="0" applyFont="1" applyFill="1" applyBorder="1" applyAlignment="1" applyProtection="1">
      <alignment horizontal="center" vertical="top"/>
    </xf>
    <xf numFmtId="0" fontId="3" fillId="12" borderId="18" xfId="0" applyFont="1" applyFill="1" applyBorder="1" applyAlignment="1" applyProtection="1">
      <alignment horizontal="center" vertical="top"/>
    </xf>
    <xf numFmtId="0" fontId="3" fillId="12" borderId="10" xfId="0" applyFont="1" applyFill="1" applyBorder="1" applyAlignment="1" applyProtection="1">
      <alignment horizontal="center" vertical="top"/>
    </xf>
    <xf numFmtId="0" fontId="3" fillId="11" borderId="18" xfId="0" applyFont="1" applyFill="1" applyBorder="1" applyAlignment="1" applyProtection="1">
      <alignment horizontal="center" vertical="top"/>
    </xf>
    <xf numFmtId="0" fontId="3" fillId="12" borderId="20" xfId="0" applyFont="1" applyFill="1" applyBorder="1" applyAlignment="1" applyProtection="1">
      <alignment horizontal="center" vertical="top"/>
    </xf>
    <xf numFmtId="0" fontId="3" fillId="12" borderId="13" xfId="0" applyFont="1" applyFill="1" applyBorder="1" applyAlignment="1" applyProtection="1">
      <alignment horizontal="center" vertical="top"/>
    </xf>
    <xf numFmtId="0" fontId="3" fillId="0" borderId="20" xfId="0" applyFont="1" applyBorder="1" applyAlignment="1">
      <alignment horizontal="center"/>
    </xf>
    <xf numFmtId="0" fontId="3" fillId="0" borderId="13" xfId="0" applyFont="1" applyBorder="1" applyAlignment="1">
      <alignment horizontal="center"/>
    </xf>
    <xf numFmtId="0" fontId="3" fillId="0" borderId="0" xfId="0" applyFont="1" applyBorder="1" applyAlignment="1">
      <alignment horizontal="center"/>
    </xf>
    <xf numFmtId="0" fontId="3" fillId="0" borderId="6" xfId="0" applyFont="1" applyBorder="1" applyAlignment="1">
      <alignment horizontal="center"/>
    </xf>
    <xf numFmtId="0" fontId="3" fillId="0" borderId="23" xfId="0" applyFont="1" applyBorder="1" applyAlignment="1">
      <alignment horizontal="center"/>
    </xf>
    <xf numFmtId="0" fontId="3" fillId="0" borderId="7" xfId="0" applyFont="1" applyBorder="1" applyAlignment="1">
      <alignment horizontal="center"/>
    </xf>
    <xf numFmtId="0" fontId="3" fillId="0" borderId="1" xfId="0" applyFont="1" applyBorder="1" applyAlignment="1">
      <alignment horizontal="center"/>
    </xf>
  </cellXfs>
  <cellStyles count="3">
    <cellStyle name="Currency" xfId="1" builtinId="4"/>
    <cellStyle name="Hyperlink" xfId="2" builtinId="8"/>
    <cellStyle name="Normal" xfId="0" builtinId="0"/>
  </cellStyles>
  <dxfs count="21">
    <dxf>
      <fill>
        <patternFill>
          <bgColor rgb="FFFFC58B"/>
        </patternFill>
      </fill>
    </dxf>
    <dxf>
      <fill>
        <patternFill>
          <bgColor theme="8" tint="0.59996337778862885"/>
        </patternFill>
      </fill>
    </dxf>
    <dxf>
      <fill>
        <patternFill>
          <bgColor theme="9" tint="0.79998168889431442"/>
        </patternFill>
      </fill>
    </dxf>
    <dxf>
      <fill>
        <patternFill>
          <bgColor rgb="FFFF9999"/>
        </patternFill>
      </fill>
    </dxf>
    <dxf>
      <fill>
        <patternFill>
          <bgColor rgb="FFFFC58B"/>
        </patternFill>
      </fill>
    </dxf>
    <dxf>
      <fill>
        <patternFill>
          <bgColor theme="8" tint="0.59996337778862885"/>
        </patternFill>
      </fill>
    </dxf>
    <dxf>
      <fill>
        <patternFill>
          <bgColor theme="9" tint="0.79998168889431442"/>
        </patternFill>
      </fill>
    </dxf>
    <dxf>
      <fill>
        <patternFill>
          <bgColor rgb="FFFF9999"/>
        </patternFill>
      </fill>
    </dxf>
    <dxf>
      <fill>
        <patternFill>
          <bgColor rgb="FFFFC58B"/>
        </patternFill>
      </fill>
    </dxf>
    <dxf>
      <fill>
        <patternFill>
          <bgColor theme="8" tint="0.59996337778862885"/>
        </patternFill>
      </fill>
    </dxf>
    <dxf>
      <fill>
        <patternFill>
          <bgColor rgb="FFFFC58B"/>
        </patternFill>
      </fill>
    </dxf>
    <dxf>
      <fill>
        <patternFill>
          <bgColor theme="8" tint="0.59996337778862885"/>
        </patternFill>
      </fill>
    </dxf>
    <dxf>
      <fill>
        <patternFill>
          <bgColor theme="9" tint="0.79998168889431442"/>
        </patternFill>
      </fill>
    </dxf>
    <dxf>
      <fill>
        <patternFill>
          <bgColor rgb="FFFF9999"/>
        </patternFill>
      </fill>
    </dxf>
    <dxf>
      <fill>
        <patternFill>
          <bgColor rgb="FFFFC58B"/>
        </patternFill>
      </fill>
    </dxf>
    <dxf>
      <fill>
        <patternFill>
          <bgColor theme="8" tint="0.59996337778862885"/>
        </patternFill>
      </fill>
    </dxf>
    <dxf>
      <fill>
        <patternFill>
          <bgColor rgb="FFFFC58B"/>
        </patternFill>
      </fill>
    </dxf>
    <dxf>
      <fill>
        <patternFill>
          <bgColor theme="8" tint="0.59996337778862885"/>
        </patternFill>
      </fill>
    </dxf>
    <dxf>
      <fill>
        <patternFill>
          <bgColor theme="9" tint="0.79998168889431442"/>
        </patternFill>
      </fill>
    </dxf>
    <dxf>
      <fill>
        <patternFill>
          <bgColor rgb="FFFF9999"/>
        </patternFill>
      </fill>
    </dxf>
    <dxf>
      <font>
        <color theme="1"/>
      </font>
      <fill>
        <patternFill>
          <bgColor theme="7"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723900</xdr:colOff>
      <xdr:row>0</xdr:row>
      <xdr:rowOff>76200</xdr:rowOff>
    </xdr:from>
    <xdr:to>
      <xdr:col>1</xdr:col>
      <xdr:colOff>3545962</xdr:colOff>
      <xdr:row>1</xdr:row>
      <xdr:rowOff>368300</xdr:rowOff>
    </xdr:to>
    <xdr:pic>
      <xdr:nvPicPr>
        <xdr:cNvPr id="3" name="Picture 2">
          <a:extLst>
            <a:ext uri="{FF2B5EF4-FFF2-40B4-BE49-F238E27FC236}">
              <a16:creationId xmlns:a16="http://schemas.microsoft.com/office/drawing/2014/main" id="{E5186361-C2DE-D644-B4D0-A782EA7339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33900" y="76200"/>
          <a:ext cx="2822062" cy="571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trainingsstage@dekorte.n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59"/>
  <sheetViews>
    <sheetView showGridLines="0" tabSelected="1" zoomScale="85" zoomScaleNormal="85" workbookViewId="0">
      <pane ySplit="8" topLeftCell="A41" activePane="bottomLeft" state="frozen"/>
      <selection activeCell="B9" sqref="B9"/>
      <selection pane="bottomLeft" activeCell="B4" sqref="B4"/>
    </sheetView>
  </sheetViews>
  <sheetFormatPr defaultColWidth="10.875" defaultRowHeight="15.75" x14ac:dyDescent="0.25"/>
  <cols>
    <col min="1" max="1" width="50" style="48" customWidth="1"/>
    <col min="2" max="2" width="66.875" style="63" customWidth="1"/>
    <col min="3" max="3" width="17.875" style="48" customWidth="1"/>
    <col min="4" max="4" width="15.375" style="48" bestFit="1" customWidth="1"/>
    <col min="5" max="16384" width="10.875" style="48"/>
  </cols>
  <sheetData>
    <row r="1" spans="1:12" ht="21" x14ac:dyDescent="0.25">
      <c r="A1" s="15" t="s">
        <v>66</v>
      </c>
      <c r="B1" s="14"/>
      <c r="C1" s="47"/>
    </row>
    <row r="2" spans="1:12" ht="42" x14ac:dyDescent="0.25">
      <c r="A2" s="15" t="str">
        <f>CONCATENATE( JAARGANG, " Topjudo Rotterdam International Trainingcamp ", JAARTAL)</f>
        <v>23rd Topjudo Rotterdam International Trainingcamp 2026</v>
      </c>
      <c r="B2" s="14"/>
      <c r="C2" s="47"/>
    </row>
    <row r="3" spans="1:12" x14ac:dyDescent="0.25">
      <c r="A3" s="14"/>
      <c r="B3" s="14"/>
      <c r="C3" s="47"/>
    </row>
    <row r="4" spans="1:12" x14ac:dyDescent="0.25">
      <c r="A4" s="47" t="s">
        <v>67</v>
      </c>
      <c r="B4" s="27"/>
      <c r="C4" s="47"/>
    </row>
    <row r="5" spans="1:12" x14ac:dyDescent="0.25">
      <c r="A5" s="47" t="s">
        <v>68</v>
      </c>
      <c r="B5" s="28"/>
      <c r="C5" s="47"/>
    </row>
    <row r="6" spans="1:12" x14ac:dyDescent="0.25">
      <c r="A6" s="47" t="s">
        <v>69</v>
      </c>
      <c r="B6" s="28"/>
      <c r="C6" s="47"/>
    </row>
    <row r="7" spans="1:12" x14ac:dyDescent="0.25">
      <c r="A7" s="47" t="s">
        <v>70</v>
      </c>
      <c r="B7" s="28"/>
      <c r="C7" s="47"/>
    </row>
    <row r="8" spans="1:12" x14ac:dyDescent="0.25">
      <c r="A8" s="47" t="s">
        <v>71</v>
      </c>
      <c r="B8" s="28"/>
      <c r="C8" s="47"/>
    </row>
    <row r="9" spans="1:12" x14ac:dyDescent="0.25">
      <c r="A9" s="47"/>
      <c r="B9" s="49"/>
      <c r="C9" s="47"/>
    </row>
    <row r="10" spans="1:12" x14ac:dyDescent="0.25">
      <c r="A10" s="47" t="s">
        <v>123</v>
      </c>
      <c r="B10" s="28"/>
      <c r="C10" s="47"/>
    </row>
    <row r="11" spans="1:12" x14ac:dyDescent="0.25">
      <c r="A11" s="47" t="s">
        <v>1</v>
      </c>
      <c r="B11" s="28"/>
      <c r="C11" s="47"/>
    </row>
    <row r="12" spans="1:12" x14ac:dyDescent="0.25">
      <c r="A12" s="47" t="s">
        <v>72</v>
      </c>
      <c r="B12" s="29"/>
      <c r="C12" s="47"/>
    </row>
    <row r="13" spans="1:12" x14ac:dyDescent="0.25">
      <c r="A13" s="47"/>
      <c r="B13" s="49"/>
      <c r="C13" s="47"/>
    </row>
    <row r="14" spans="1:12" x14ac:dyDescent="0.25">
      <c r="A14" s="47" t="s">
        <v>120</v>
      </c>
      <c r="B14" s="30"/>
      <c r="C14" s="47"/>
    </row>
    <row r="15" spans="1:12" x14ac:dyDescent="0.25">
      <c r="A15" s="47"/>
      <c r="B15" s="47"/>
      <c r="C15" s="47"/>
    </row>
    <row r="16" spans="1:12" s="111" customFormat="1" ht="21" x14ac:dyDescent="0.25">
      <c r="A16" s="112" t="s">
        <v>130</v>
      </c>
      <c r="B16" s="113" t="s">
        <v>132</v>
      </c>
      <c r="C16" s="110"/>
      <c r="D16" s="48"/>
      <c r="E16" s="48"/>
      <c r="F16" s="48"/>
      <c r="G16" s="48"/>
      <c r="H16" s="48"/>
      <c r="I16" s="48"/>
      <c r="J16" s="48"/>
      <c r="K16" s="48"/>
      <c r="L16" s="48"/>
    </row>
    <row r="17" spans="1:12" s="111" customFormat="1" ht="21" x14ac:dyDescent="0.25">
      <c r="A17" s="47" t="s">
        <v>140</v>
      </c>
      <c r="B17" s="28"/>
      <c r="C17" s="110"/>
      <c r="D17" s="48"/>
      <c r="E17" s="48"/>
      <c r="F17" s="48"/>
      <c r="G17" s="48"/>
      <c r="H17" s="48"/>
      <c r="I17" s="48"/>
      <c r="J17" s="48"/>
      <c r="K17" s="48"/>
      <c r="L17" s="48"/>
    </row>
    <row r="18" spans="1:12" x14ac:dyDescent="0.25">
      <c r="A18" s="47"/>
      <c r="B18" s="47"/>
      <c r="C18" s="47"/>
    </row>
    <row r="19" spans="1:12" hidden="1" x14ac:dyDescent="0.25">
      <c r="A19" s="50" t="s">
        <v>73</v>
      </c>
      <c r="B19" s="47"/>
      <c r="C19" s="47"/>
    </row>
    <row r="20" spans="1:12" hidden="1" x14ac:dyDescent="0.25">
      <c r="A20" s="51" t="s">
        <v>74</v>
      </c>
      <c r="B20" s="28"/>
      <c r="C20" s="47"/>
    </row>
    <row r="21" spans="1:12" hidden="1" x14ac:dyDescent="0.25">
      <c r="A21" s="51" t="s">
        <v>75</v>
      </c>
      <c r="B21" s="28"/>
      <c r="C21" s="47"/>
    </row>
    <row r="22" spans="1:12" hidden="1" x14ac:dyDescent="0.25">
      <c r="A22" s="51"/>
      <c r="B22" s="49"/>
      <c r="C22" s="47"/>
    </row>
    <row r="23" spans="1:12" ht="96.75" customHeight="1" x14ac:dyDescent="0.25">
      <c r="A23" s="51" t="s">
        <v>76</v>
      </c>
      <c r="B23" s="28"/>
      <c r="C23" s="47"/>
    </row>
    <row r="24" spans="1:12" x14ac:dyDescent="0.25">
      <c r="A24" s="47"/>
      <c r="B24" s="49"/>
      <c r="C24" s="47"/>
    </row>
    <row r="25" spans="1:12" x14ac:dyDescent="0.25">
      <c r="A25" s="52" t="s">
        <v>77</v>
      </c>
      <c r="B25" s="49"/>
    </row>
    <row r="26" spans="1:12" ht="110.25" x14ac:dyDescent="0.25">
      <c r="A26" s="118" t="s">
        <v>79</v>
      </c>
      <c r="B26" s="119" t="s">
        <v>125</v>
      </c>
      <c r="C26" s="53"/>
    </row>
    <row r="27" spans="1:12" ht="94.5" x14ac:dyDescent="0.25">
      <c r="A27" s="120" t="s">
        <v>78</v>
      </c>
      <c r="B27" s="121" t="s">
        <v>126</v>
      </c>
      <c r="C27" s="55"/>
    </row>
    <row r="28" spans="1:12" ht="94.5" x14ac:dyDescent="0.25">
      <c r="A28" s="137" t="s">
        <v>98</v>
      </c>
      <c r="B28" s="121" t="s">
        <v>131</v>
      </c>
      <c r="C28" s="55"/>
    </row>
    <row r="29" spans="1:12" ht="141.75" x14ac:dyDescent="0.25">
      <c r="A29" s="120" t="s">
        <v>130</v>
      </c>
      <c r="B29" s="121" t="s">
        <v>134</v>
      </c>
      <c r="C29" s="55"/>
    </row>
    <row r="30" spans="1:12" x14ac:dyDescent="0.25">
      <c r="A30" s="51"/>
      <c r="B30" s="54"/>
      <c r="C30" s="149"/>
      <c r="D30" s="149"/>
    </row>
    <row r="31" spans="1:12" x14ac:dyDescent="0.25">
      <c r="A31" s="52" t="s">
        <v>87</v>
      </c>
      <c r="B31" s="49"/>
      <c r="C31" s="56"/>
    </row>
    <row r="32" spans="1:12" x14ac:dyDescent="0.25">
      <c r="A32" s="116" t="s">
        <v>135</v>
      </c>
      <c r="B32" s="117" t="s">
        <v>88</v>
      </c>
      <c r="C32" s="57">
        <f>KostenHeleStageJudoka</f>
        <v>75</v>
      </c>
    </row>
    <row r="33" spans="1:3" x14ac:dyDescent="0.25">
      <c r="A33" s="116" t="s">
        <v>89</v>
      </c>
      <c r="B33" s="117" t="s">
        <v>127</v>
      </c>
      <c r="C33" s="57">
        <f>KostenEnkeleTrainingJudoka</f>
        <v>20</v>
      </c>
    </row>
    <row r="34" spans="1:3" hidden="1" x14ac:dyDescent="0.25">
      <c r="A34" s="116" t="s">
        <v>4</v>
      </c>
      <c r="B34" s="117" t="s">
        <v>136</v>
      </c>
      <c r="C34" s="57">
        <f>KostenClinic</f>
        <v>15</v>
      </c>
    </row>
    <row r="35" spans="1:3" x14ac:dyDescent="0.25">
      <c r="A35" s="47"/>
      <c r="B35" s="49"/>
      <c r="C35" s="47"/>
    </row>
    <row r="36" spans="1:3" ht="16.5" thickBot="1" x14ac:dyDescent="0.3">
      <c r="A36" s="52" t="s">
        <v>90</v>
      </c>
      <c r="B36" s="49"/>
      <c r="C36" s="47"/>
    </row>
    <row r="37" spans="1:3" ht="16.5" thickBot="1" x14ac:dyDescent="0.3">
      <c r="A37" s="47" t="s">
        <v>91</v>
      </c>
      <c r="B37" s="49" t="s">
        <v>96</v>
      </c>
      <c r="C37" s="58">
        <f>Participants!M4</f>
        <v>0</v>
      </c>
    </row>
    <row r="38" spans="1:3" x14ac:dyDescent="0.25">
      <c r="A38" s="47" t="s">
        <v>92</v>
      </c>
      <c r="B38" s="59" t="s">
        <v>44</v>
      </c>
      <c r="C38" s="47"/>
    </row>
    <row r="39" spans="1:3" x14ac:dyDescent="0.25">
      <c r="A39" s="47" t="s">
        <v>5</v>
      </c>
      <c r="B39" s="59" t="s">
        <v>45</v>
      </c>
      <c r="C39" s="47"/>
    </row>
    <row r="40" spans="1:3" x14ac:dyDescent="0.25">
      <c r="A40" s="47" t="s">
        <v>93</v>
      </c>
      <c r="B40" s="59" t="s">
        <v>64</v>
      </c>
      <c r="C40" s="47"/>
    </row>
    <row r="41" spans="1:3" x14ac:dyDescent="0.25">
      <c r="A41" s="47" t="s">
        <v>94</v>
      </c>
      <c r="B41" s="91" t="str">
        <f>CONCATENATE( "Trainingcamp ", JAARTAL, " + name of your club")</f>
        <v>Trainingcamp 2026 + name of your club</v>
      </c>
      <c r="C41" s="47"/>
    </row>
    <row r="42" spans="1:3" x14ac:dyDescent="0.25">
      <c r="A42" s="47" t="s">
        <v>95</v>
      </c>
      <c r="B42" s="60">
        <f>DATE( JAARTAL, 12, 14)</f>
        <v>46370</v>
      </c>
      <c r="C42" s="47"/>
    </row>
    <row r="43" spans="1:3" x14ac:dyDescent="0.25">
      <c r="A43" s="47"/>
      <c r="B43" s="60"/>
      <c r="C43" s="47"/>
    </row>
    <row r="44" spans="1:3" x14ac:dyDescent="0.25">
      <c r="A44" s="47" t="s">
        <v>111</v>
      </c>
      <c r="B44" s="61" t="s">
        <v>110</v>
      </c>
      <c r="C44" s="130" t="s">
        <v>101</v>
      </c>
    </row>
    <row r="45" spans="1:3" x14ac:dyDescent="0.25">
      <c r="A45" s="47"/>
      <c r="B45" s="49"/>
      <c r="C45" s="47"/>
    </row>
    <row r="46" spans="1:3" x14ac:dyDescent="0.25">
      <c r="A46" s="52" t="s">
        <v>137</v>
      </c>
      <c r="B46" s="49"/>
      <c r="C46" s="47"/>
    </row>
    <row r="47" spans="1:3" x14ac:dyDescent="0.25">
      <c r="A47" s="47" t="s">
        <v>1</v>
      </c>
      <c r="B47" s="62" t="s">
        <v>129</v>
      </c>
      <c r="C47" s="47"/>
    </row>
    <row r="48" spans="1:3" x14ac:dyDescent="0.25">
      <c r="A48" s="47" t="s">
        <v>138</v>
      </c>
      <c r="B48" s="62"/>
      <c r="C48" s="47"/>
    </row>
    <row r="49" spans="1:3" x14ac:dyDescent="0.25">
      <c r="A49" s="47"/>
      <c r="B49" s="49"/>
      <c r="C49" s="47"/>
    </row>
    <row r="50" spans="1:3" x14ac:dyDescent="0.25">
      <c r="A50" s="52" t="s">
        <v>6</v>
      </c>
      <c r="B50" s="49"/>
      <c r="C50" s="47"/>
    </row>
    <row r="51" spans="1:3" ht="22.5" customHeight="1" x14ac:dyDescent="0.25">
      <c r="A51" s="150" t="str">
        <f>CONCATENATE( "1) Before/during/after the trainingcamp from 27 untill 30 December ", JAARTAL, " the organisation is not responsible for any theft.")</f>
        <v>1) Before/during/after the trainingcamp from 27 untill 30 December 2026 the organisation is not responsible for any theft.</v>
      </c>
      <c r="B51" s="150"/>
      <c r="C51" s="150"/>
    </row>
    <row r="52" spans="1:3" ht="22.5" customHeight="1" x14ac:dyDescent="0.25">
      <c r="A52" s="150" t="str">
        <f>CONCATENATE( "2) Participation in the training camp of 27/30 December ", JAARTAL, " is at own risk, the organisation is not liable for injury or other medical consequences.")</f>
        <v>2) Participation in the training camp of 27/30 December 2026 is at own risk, the organisation is not liable for injury or other medical consequences.</v>
      </c>
      <c r="B52" s="150"/>
      <c r="C52" s="150"/>
    </row>
    <row r="53" spans="1:3" ht="41.25" customHeight="1" x14ac:dyDescent="0.25">
      <c r="A53" s="150" t="s">
        <v>139</v>
      </c>
      <c r="B53" s="150"/>
      <c r="C53" s="150"/>
    </row>
    <row r="54" spans="1:3" ht="40.5" customHeight="1" x14ac:dyDescent="0.25">
      <c r="A54" s="150" t="s">
        <v>97</v>
      </c>
      <c r="B54" s="150"/>
      <c r="C54" s="150"/>
    </row>
    <row r="55" spans="1:3" ht="60" customHeight="1" x14ac:dyDescent="0.25">
      <c r="A55" s="148" t="s">
        <v>133</v>
      </c>
      <c r="B55" s="148"/>
      <c r="C55" s="148"/>
    </row>
    <row r="56" spans="1:3" ht="55.5" hidden="1" customHeight="1" x14ac:dyDescent="0.25">
      <c r="A56" s="148" t="s">
        <v>124</v>
      </c>
      <c r="B56" s="148"/>
      <c r="C56" s="148"/>
    </row>
    <row r="57" spans="1:3" ht="43.5" customHeight="1" x14ac:dyDescent="0.25">
      <c r="A57" s="148" t="s">
        <v>141</v>
      </c>
      <c r="B57" s="148"/>
      <c r="C57" s="148"/>
    </row>
    <row r="58" spans="1:3" ht="40.5" customHeight="1" x14ac:dyDescent="0.25">
      <c r="A58" s="148" t="s">
        <v>142</v>
      </c>
      <c r="B58" s="148"/>
      <c r="C58" s="148"/>
    </row>
    <row r="59" spans="1:3" x14ac:dyDescent="0.25">
      <c r="A59" s="145" t="s">
        <v>144</v>
      </c>
      <c r="B59" s="146"/>
      <c r="C59" s="147"/>
    </row>
  </sheetData>
  <sheetProtection algorithmName="SHA-512" hashValue="8mYXdTjA0WBrrFBehgl4+HiOKA6xKcceXIc+awpk0DPVNCrrgeuGtUGwRp67S8IilRwLaowOj/lhhO4DxbILtQ==" saltValue="uEovkEMCJtNM1sTS2wZF7A==" spinCount="100000" sheet="1" selectLockedCells="1"/>
  <protectedRanges>
    <protectedRange algorithmName="SHA-512" hashValue="l6Zcz/47RbdS8m7jgSRxsINRKsIbRgMnlcGQnKHVZ0y9JcTlhIJfEo7bEgO3WfrAPirUmsnxHDi/afOQ0tvicA==" saltValue="6llZFeoDe224pQ2P6tiGzg==" spinCount="100000" sqref="A15:A18 B18:B19 A22" name="Bereik1"/>
    <protectedRange sqref="C44" name="SorteerLijst"/>
    <protectedRange algorithmName="SHA-512" hashValue="l6Zcz/47RbdS8m7jgSRxsINRKsIbRgMnlcGQnKHVZ0y9JcTlhIJfEo7bEgO3WfrAPirUmsnxHDi/afOQ0tvicA==" saltValue="6llZFeoDe224pQ2P6tiGzg==" spinCount="100000" sqref="A4:A14" name="Bereik1_2"/>
    <protectedRange algorithmName="SHA-512" hashValue="l6Zcz/47RbdS8m7jgSRxsINRKsIbRgMnlcGQnKHVZ0y9JcTlhIJfEo7bEgO3WfrAPirUmsnxHDi/afOQ0tvicA==" saltValue="6llZFeoDe224pQ2P6tiGzg==" spinCount="100000" sqref="A19:A21" name="Bereik1_3"/>
    <protectedRange algorithmName="SHA-512" hashValue="l6Zcz/47RbdS8m7jgSRxsINRKsIbRgMnlcGQnKHVZ0y9JcTlhIJfEo7bEgO3WfrAPirUmsnxHDi/afOQ0tvicA==" saltValue="6llZFeoDe224pQ2P6tiGzg==" spinCount="100000" sqref="A23" name="Bereik1_4"/>
  </protectedRanges>
  <mergeCells count="9">
    <mergeCell ref="A58:C58"/>
    <mergeCell ref="A56:C56"/>
    <mergeCell ref="A57:C57"/>
    <mergeCell ref="C30:D30"/>
    <mergeCell ref="A55:C55"/>
    <mergeCell ref="A51:C51"/>
    <mergeCell ref="A54:C54"/>
    <mergeCell ref="A52:C52"/>
    <mergeCell ref="A53:C53"/>
  </mergeCells>
  <conditionalFormatting sqref="C44">
    <cfRule type="containsText" dxfId="20" priority="1" operator="containsText" text="Partly">
      <formula>NOT(ISERROR(SEARCH("Partly",C44)))</formula>
    </cfRule>
    <cfRule type="cellIs" dxfId="19" priority="2" operator="equal">
      <formula>"No"</formula>
    </cfRule>
    <cfRule type="cellIs" dxfId="18" priority="3" operator="equal">
      <formula>"Yes"</formula>
    </cfRule>
  </conditionalFormatting>
  <dataValidations count="2">
    <dataValidation type="list" allowBlank="1" showInputMessage="1" showErrorMessage="1" sqref="C44" xr:uid="{00000000-0002-0000-0000-000000000000}">
      <formula1>BetaaldClub</formula1>
    </dataValidation>
    <dataValidation type="list" allowBlank="1" showInputMessage="1" showErrorMessage="1" sqref="B16" xr:uid="{00000000-0002-0000-0000-000001000000}">
      <formula1>OptieBeschrijvingen</formula1>
    </dataValidation>
  </dataValidations>
  <hyperlinks>
    <hyperlink ref="B47" r:id="rId1" xr:uid="{00000000-0004-0000-0000-000000000000}"/>
  </hyperlinks>
  <pageMargins left="0.7" right="0.7" top="0.75" bottom="0.75" header="0.3" footer="0.3"/>
  <pageSetup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A86"/>
  <sheetViews>
    <sheetView zoomScale="90" zoomScaleNormal="90" workbookViewId="0">
      <pane ySplit="7" topLeftCell="A8" activePane="bottomLeft" state="frozen"/>
      <selection pane="bottomLeft" activeCell="E24" sqref="E24"/>
    </sheetView>
  </sheetViews>
  <sheetFormatPr defaultColWidth="7.625" defaultRowHeight="12.75" outlineLevelCol="1" x14ac:dyDescent="0.25"/>
  <cols>
    <col min="1" max="1" width="4.625" style="82" bestFit="1" customWidth="1"/>
    <col min="2" max="2" width="11.875" style="82" customWidth="1"/>
    <col min="3" max="3" width="11" style="82" customWidth="1"/>
    <col min="4" max="4" width="7.625" style="82" customWidth="1"/>
    <col min="5" max="5" width="9.875" style="82" customWidth="1"/>
    <col min="6" max="6" width="24.875" style="94" customWidth="1"/>
    <col min="7" max="7" width="2.5" style="82" customWidth="1"/>
    <col min="8" max="8" width="17.25" style="82" customWidth="1"/>
    <col min="9" max="9" width="7.125" style="82" hidden="1" customWidth="1"/>
    <col min="10" max="10" width="2.5" style="82" customWidth="1"/>
    <col min="11" max="12" width="9.625" style="82" customWidth="1"/>
    <col min="13" max="13" width="13" style="82" customWidth="1"/>
    <col min="14" max="14" width="2.5" style="82" customWidth="1"/>
    <col min="15" max="16" width="11.5" style="82" hidden="1" customWidth="1" outlineLevel="1"/>
    <col min="17" max="17" width="14.625" style="82" hidden="1" customWidth="1" outlineLevel="1"/>
    <col min="18" max="18" width="5.5" style="82" hidden="1" customWidth="1" outlineLevel="1"/>
    <col min="19" max="19" width="2.5" style="82" customWidth="1" collapsed="1"/>
    <col min="20" max="21" width="23" style="82" hidden="1" customWidth="1" outlineLevel="1"/>
    <col min="22" max="22" width="14.375" style="82" hidden="1" customWidth="1" outlineLevel="1"/>
    <col min="23" max="23" width="14.625" style="82" hidden="1" customWidth="1" outlineLevel="1"/>
    <col min="24" max="24" width="13.5" style="82" hidden="1" customWidth="1" outlineLevel="1"/>
    <col min="25" max="26" width="7.625" style="82" hidden="1" customWidth="1" outlineLevel="1"/>
    <col min="27" max="27" width="7.625" style="82" collapsed="1"/>
    <col min="28" max="16384" width="7.625" style="82"/>
  </cols>
  <sheetData>
    <row r="1" spans="1:24" s="128" customFormat="1" ht="31.5" x14ac:dyDescent="0.25">
      <c r="A1" s="129" t="s">
        <v>14</v>
      </c>
      <c r="B1" s="129"/>
      <c r="C1" s="129">
        <f>'Club details'!$B$4</f>
        <v>0</v>
      </c>
      <c r="D1" s="129"/>
      <c r="E1" s="129"/>
      <c r="F1" s="129" t="s">
        <v>86</v>
      </c>
      <c r="G1" s="125"/>
      <c r="H1" s="126" t="s">
        <v>87</v>
      </c>
      <c r="I1" s="126"/>
      <c r="J1" s="125"/>
      <c r="K1" s="151" t="s">
        <v>105</v>
      </c>
      <c r="L1" s="151"/>
      <c r="M1" s="151"/>
      <c r="N1" s="125"/>
      <c r="O1" s="152" t="s">
        <v>108</v>
      </c>
      <c r="P1" s="152"/>
      <c r="Q1" s="152"/>
      <c r="R1" s="152"/>
      <c r="S1" s="125"/>
      <c r="T1" s="127" t="s">
        <v>20</v>
      </c>
      <c r="U1" s="127" t="s">
        <v>56</v>
      </c>
      <c r="V1" s="127" t="s">
        <v>48</v>
      </c>
      <c r="W1" s="127" t="s">
        <v>3</v>
      </c>
      <c r="X1" s="127" t="s">
        <v>55</v>
      </c>
    </row>
    <row r="2" spans="1:24" s="67" customFormat="1" ht="5.0999999999999996" customHeight="1" thickBot="1" x14ac:dyDescent="0.3">
      <c r="A2" s="68"/>
      <c r="B2" s="68"/>
      <c r="C2" s="68"/>
      <c r="D2" s="68"/>
      <c r="E2" s="68"/>
      <c r="F2" s="70"/>
      <c r="G2" s="66"/>
      <c r="H2" s="69"/>
      <c r="I2" s="69"/>
      <c r="J2" s="66"/>
      <c r="K2" s="69"/>
      <c r="L2" s="69"/>
      <c r="M2" s="69"/>
      <c r="N2" s="66"/>
      <c r="O2" s="69"/>
      <c r="P2" s="69"/>
      <c r="Q2" s="68"/>
      <c r="R2" s="68"/>
      <c r="S2" s="66"/>
      <c r="T2" s="23"/>
      <c r="U2" s="23"/>
      <c r="V2" s="23"/>
      <c r="W2" s="23"/>
      <c r="X2" s="23"/>
    </row>
    <row r="3" spans="1:24" s="72" customFormat="1" ht="38.25" x14ac:dyDescent="0.25">
      <c r="C3" s="73" t="s">
        <v>104</v>
      </c>
      <c r="F3" s="76"/>
      <c r="G3" s="93"/>
      <c r="J3" s="93"/>
      <c r="K3" s="73" t="s">
        <v>106</v>
      </c>
      <c r="L3" s="73" t="s">
        <v>107</v>
      </c>
      <c r="M3" s="73" t="str">
        <f>CONCATENATE( "Total costs ", C1)</f>
        <v>Total costs 0</v>
      </c>
      <c r="N3" s="93"/>
      <c r="Q3" s="75" t="s">
        <v>109</v>
      </c>
      <c r="S3" s="93"/>
      <c r="T3" s="99" t="s">
        <v>21</v>
      </c>
      <c r="U3" s="99" t="s">
        <v>21</v>
      </c>
      <c r="V3" s="99" t="s">
        <v>21</v>
      </c>
      <c r="W3" s="99" t="s">
        <v>21</v>
      </c>
      <c r="X3" s="99" t="s">
        <v>21</v>
      </c>
    </row>
    <row r="4" spans="1:24" s="71" customFormat="1" ht="16.5" thickBot="1" x14ac:dyDescent="0.3">
      <c r="B4" s="72"/>
      <c r="C4" s="78">
        <f t="array" ref="C4">SUM(IF(FREQUENCY(IF(LEN(DeelnameNamen)&gt;0,MATCH(DeelnameNamen,DeelnameNamen,0),""),IF(LEN(DeelnameNamen)&gt;0,MATCH(DeelnameNamen,DeelnameNamen,0),""))&gt;0,1))</f>
        <v>0</v>
      </c>
      <c r="F4" s="76"/>
      <c r="G4" s="74"/>
      <c r="H4" s="77"/>
      <c r="I4" s="77"/>
      <c r="J4" s="74"/>
      <c r="K4" s="79">
        <f>SUM(K9:K83)</f>
        <v>0</v>
      </c>
      <c r="L4" s="79">
        <f>SUM(L9:L83)</f>
        <v>0</v>
      </c>
      <c r="M4" s="80">
        <f>K4+L4</f>
        <v>0</v>
      </c>
      <c r="N4" s="74"/>
      <c r="Q4" s="80">
        <f>SUM(Q9:Q83)</f>
        <v>0</v>
      </c>
      <c r="S4" s="74"/>
      <c r="T4" s="24"/>
      <c r="U4" s="24"/>
      <c r="V4" s="24"/>
      <c r="W4" s="24"/>
      <c r="X4" s="24"/>
    </row>
    <row r="5" spans="1:24" s="71" customFormat="1" ht="5.0999999999999996" customHeight="1" x14ac:dyDescent="0.25">
      <c r="B5" s="72"/>
      <c r="C5" s="81"/>
      <c r="F5" s="76"/>
      <c r="G5" s="74"/>
      <c r="H5" s="77"/>
      <c r="I5" s="77"/>
      <c r="J5" s="74"/>
      <c r="K5" s="77"/>
      <c r="L5" s="77"/>
      <c r="M5" s="77"/>
      <c r="N5" s="74"/>
      <c r="O5" s="77"/>
      <c r="P5" s="77"/>
      <c r="S5" s="74"/>
      <c r="T5" s="24"/>
      <c r="U5" s="24"/>
      <c r="V5" s="24"/>
      <c r="W5" s="24"/>
      <c r="X5" s="24"/>
    </row>
    <row r="6" spans="1:24" s="94" customFormat="1" ht="38.25" x14ac:dyDescent="0.25">
      <c r="A6" s="72" t="s">
        <v>15</v>
      </c>
      <c r="B6" s="72" t="s">
        <v>83</v>
      </c>
      <c r="C6" s="72" t="s">
        <v>84</v>
      </c>
      <c r="D6" s="72" t="s">
        <v>85</v>
      </c>
      <c r="E6" s="72" t="s">
        <v>78</v>
      </c>
      <c r="F6" s="72" t="s">
        <v>86</v>
      </c>
      <c r="G6" s="93"/>
      <c r="H6" s="72" t="s">
        <v>115</v>
      </c>
      <c r="I6" s="76" t="s">
        <v>4</v>
      </c>
      <c r="J6" s="93"/>
      <c r="K6" s="72" t="s">
        <v>116</v>
      </c>
      <c r="L6" s="72" t="s">
        <v>65</v>
      </c>
      <c r="M6" s="72" t="s">
        <v>117</v>
      </c>
      <c r="N6" s="93"/>
      <c r="O6" s="76" t="s">
        <v>118</v>
      </c>
      <c r="P6" s="76" t="s">
        <v>119</v>
      </c>
      <c r="S6" s="93"/>
      <c r="T6" s="95" t="s">
        <v>22</v>
      </c>
      <c r="U6" s="95" t="s">
        <v>57</v>
      </c>
      <c r="V6" s="95" t="s">
        <v>52</v>
      </c>
      <c r="W6" s="95" t="s">
        <v>52</v>
      </c>
      <c r="X6" s="95" t="s">
        <v>54</v>
      </c>
    </row>
    <row r="7" spans="1:24" s="96" customFormat="1" ht="54.95" customHeight="1" x14ac:dyDescent="0.25">
      <c r="B7" s="96" t="s">
        <v>112</v>
      </c>
      <c r="C7" s="96" t="s">
        <v>112</v>
      </c>
      <c r="D7" s="96" t="s">
        <v>113</v>
      </c>
      <c r="E7" s="96" t="s">
        <v>46</v>
      </c>
      <c r="F7" s="83" t="s">
        <v>114</v>
      </c>
      <c r="G7" s="97"/>
      <c r="H7" s="84"/>
      <c r="I7" s="84" t="s">
        <v>99</v>
      </c>
      <c r="J7" s="97"/>
      <c r="K7" s="84"/>
      <c r="L7" s="84"/>
      <c r="M7" s="84"/>
      <c r="N7" s="97"/>
      <c r="O7" s="84" t="s">
        <v>103</v>
      </c>
      <c r="P7" s="84" t="s">
        <v>99</v>
      </c>
      <c r="Q7" s="96" t="s">
        <v>30</v>
      </c>
      <c r="S7" s="97"/>
      <c r="T7" s="98"/>
      <c r="U7" s="98"/>
    </row>
    <row r="8" spans="1:24" s="90" customFormat="1" ht="6" customHeight="1" x14ac:dyDescent="0.25">
      <c r="F8" s="131"/>
      <c r="G8" s="132"/>
      <c r="H8" s="133"/>
      <c r="I8" s="133"/>
      <c r="J8" s="132"/>
      <c r="K8" s="133"/>
      <c r="L8" s="133"/>
      <c r="M8" s="133"/>
      <c r="N8" s="132"/>
      <c r="O8" s="133"/>
      <c r="P8" s="133"/>
      <c r="S8" s="132"/>
    </row>
    <row r="9" spans="1:24" ht="15.75" x14ac:dyDescent="0.25">
      <c r="A9" s="134">
        <v>1</v>
      </c>
      <c r="B9" s="18"/>
      <c r="C9" s="18"/>
      <c r="D9" s="18"/>
      <c r="E9" s="19" t="str">
        <f>IF(D9&lt;GrensU15,"15+", "15-")</f>
        <v>15+</v>
      </c>
      <c r="F9" s="18" t="str">
        <f t="shared" ref="F9:F40" si="0">OptieClub</f>
        <v>a: Whole training camp</v>
      </c>
      <c r="G9" s="86"/>
      <c r="H9" s="106" t="str">
        <f t="shared" ref="H9:H40" si="1">IF( U9="Ja", W9, "-")</f>
        <v>-</v>
      </c>
      <c r="I9" s="136"/>
      <c r="J9" s="86"/>
      <c r="K9" s="85">
        <f t="shared" ref="K9:K40" si="2">IF( U9="Ja", X9,0)</f>
        <v>0</v>
      </c>
      <c r="L9" s="85">
        <f t="shared" ref="L9:L40" si="3">IF(I9="Yes", KostenClinic,0)</f>
        <v>0</v>
      </c>
      <c r="M9" s="85">
        <f>K9+L9</f>
        <v>0</v>
      </c>
      <c r="N9" s="86"/>
      <c r="O9" s="138" t="str">
        <f t="shared" ref="O9:O72" si="4">InschrijvingBetaald</f>
        <v>No</v>
      </c>
      <c r="P9" s="87" t="str">
        <f>IF(O9="Partly", "Yes", "")</f>
        <v/>
      </c>
      <c r="Q9" s="85">
        <f>IF(O9="Yes",M9,IF(O9="Partly", IF(OR(P9="Yes",P9=""),M9,0),0))</f>
        <v>0</v>
      </c>
      <c r="S9" s="86"/>
      <c r="T9" s="87" t="str">
        <f t="shared" ref="T9:T40" si="5">IF( ISTEXT(C9), CONCATENATE( UPPER(C9), "; ", B9), "")</f>
        <v/>
      </c>
      <c r="U9" s="87" t="str">
        <f>IF(LEN(T9), "Ja", "Nee")</f>
        <v>Nee</v>
      </c>
      <c r="V9" s="82">
        <f t="shared" ref="V9:V40" si="6">VLOOKUP(F9,Opties,2,FALSE)</f>
        <v>0</v>
      </c>
      <c r="W9" s="82">
        <f t="shared" ref="W9:W40" si="7">VLOOKUP(F9,Opties,3,FALSE)</f>
        <v>6</v>
      </c>
      <c r="X9" s="88">
        <f t="shared" ref="X9:X40" si="8" xml:space="preserve"> IF(E9="Coach",0,  VLOOKUP(W9, KostenStage, 2, FALSE))</f>
        <v>75</v>
      </c>
    </row>
    <row r="10" spans="1:24" ht="15.75" x14ac:dyDescent="0.25">
      <c r="A10" s="135">
        <v>2</v>
      </c>
      <c r="B10" s="18"/>
      <c r="C10" s="18"/>
      <c r="D10" s="18"/>
      <c r="E10" s="19" t="str">
        <f t="shared" ref="E10:E15" si="9">IF(D10&lt;GrensU15,"15+", "15-")</f>
        <v>15+</v>
      </c>
      <c r="F10" s="18" t="str">
        <f t="shared" si="0"/>
        <v>a: Whole training camp</v>
      </c>
      <c r="G10" s="86"/>
      <c r="H10" s="106" t="str">
        <f t="shared" si="1"/>
        <v>-</v>
      </c>
      <c r="I10" s="136"/>
      <c r="J10" s="86"/>
      <c r="K10" s="85">
        <f t="shared" si="2"/>
        <v>0</v>
      </c>
      <c r="L10" s="85">
        <f t="shared" si="3"/>
        <v>0</v>
      </c>
      <c r="M10" s="85">
        <f t="shared" ref="M10:M73" si="10">K10+L10</f>
        <v>0</v>
      </c>
      <c r="N10" s="86"/>
      <c r="O10" s="138" t="str">
        <f t="shared" si="4"/>
        <v>No</v>
      </c>
      <c r="P10" s="87" t="str">
        <f t="shared" ref="P10:P73" si="11">IF(O10="Partly", "Yes", "")</f>
        <v/>
      </c>
      <c r="Q10" s="85">
        <f t="shared" ref="Q10:Q41" si="12">IF(O10="Yes",M10,IF(O10="Partly", IF(P10="Yes",M10,0),0))</f>
        <v>0</v>
      </c>
      <c r="S10" s="86"/>
      <c r="T10" s="87" t="str">
        <f t="shared" si="5"/>
        <v/>
      </c>
      <c r="U10" s="87" t="str">
        <f t="shared" ref="U10:U73" si="13">IF(LEN(T10), "Ja", "Nee")</f>
        <v>Nee</v>
      </c>
      <c r="V10" s="82">
        <f t="shared" si="6"/>
        <v>0</v>
      </c>
      <c r="W10" s="82">
        <f t="shared" si="7"/>
        <v>6</v>
      </c>
      <c r="X10" s="88">
        <f t="shared" si="8"/>
        <v>75</v>
      </c>
    </row>
    <row r="11" spans="1:24" ht="15.75" x14ac:dyDescent="0.25">
      <c r="A11" s="135">
        <v>3</v>
      </c>
      <c r="B11" s="18"/>
      <c r="C11" s="18"/>
      <c r="D11" s="18"/>
      <c r="E11" s="19" t="str">
        <f t="shared" si="9"/>
        <v>15+</v>
      </c>
      <c r="F11" s="18" t="str">
        <f t="shared" si="0"/>
        <v>a: Whole training camp</v>
      </c>
      <c r="G11" s="86"/>
      <c r="H11" s="106" t="str">
        <f t="shared" si="1"/>
        <v>-</v>
      </c>
      <c r="I11" s="136"/>
      <c r="J11" s="86"/>
      <c r="K11" s="85">
        <f t="shared" si="2"/>
        <v>0</v>
      </c>
      <c r="L11" s="85">
        <f t="shared" si="3"/>
        <v>0</v>
      </c>
      <c r="M11" s="85">
        <f t="shared" si="10"/>
        <v>0</v>
      </c>
      <c r="N11" s="86"/>
      <c r="O11" s="138" t="str">
        <f t="shared" si="4"/>
        <v>No</v>
      </c>
      <c r="P11" s="87" t="str">
        <f t="shared" si="11"/>
        <v/>
      </c>
      <c r="Q11" s="85">
        <f t="shared" si="12"/>
        <v>0</v>
      </c>
      <c r="S11" s="86"/>
      <c r="T11" s="87" t="str">
        <f t="shared" si="5"/>
        <v/>
      </c>
      <c r="U11" s="87" t="str">
        <f t="shared" si="13"/>
        <v>Nee</v>
      </c>
      <c r="V11" s="82">
        <f t="shared" si="6"/>
        <v>0</v>
      </c>
      <c r="W11" s="82">
        <f t="shared" si="7"/>
        <v>6</v>
      </c>
      <c r="X11" s="88">
        <f t="shared" si="8"/>
        <v>75</v>
      </c>
    </row>
    <row r="12" spans="1:24" ht="15.75" x14ac:dyDescent="0.25">
      <c r="A12" s="135">
        <v>4</v>
      </c>
      <c r="B12" s="18"/>
      <c r="C12" s="18"/>
      <c r="D12" s="18"/>
      <c r="E12" s="19" t="str">
        <f t="shared" si="9"/>
        <v>15+</v>
      </c>
      <c r="F12" s="18" t="str">
        <f t="shared" si="0"/>
        <v>a: Whole training camp</v>
      </c>
      <c r="G12" s="86"/>
      <c r="H12" s="106" t="str">
        <f t="shared" si="1"/>
        <v>-</v>
      </c>
      <c r="I12" s="136"/>
      <c r="J12" s="86"/>
      <c r="K12" s="85">
        <f t="shared" si="2"/>
        <v>0</v>
      </c>
      <c r="L12" s="85">
        <f t="shared" si="3"/>
        <v>0</v>
      </c>
      <c r="M12" s="85">
        <f t="shared" si="10"/>
        <v>0</v>
      </c>
      <c r="N12" s="86"/>
      <c r="O12" s="138" t="str">
        <f t="shared" si="4"/>
        <v>No</v>
      </c>
      <c r="P12" s="87" t="str">
        <f t="shared" si="11"/>
        <v/>
      </c>
      <c r="Q12" s="85">
        <f t="shared" si="12"/>
        <v>0</v>
      </c>
      <c r="S12" s="86"/>
      <c r="T12" s="87" t="str">
        <f t="shared" si="5"/>
        <v/>
      </c>
      <c r="U12" s="87" t="str">
        <f t="shared" si="13"/>
        <v>Nee</v>
      </c>
      <c r="V12" s="82">
        <f t="shared" si="6"/>
        <v>0</v>
      </c>
      <c r="W12" s="82">
        <f t="shared" si="7"/>
        <v>6</v>
      </c>
      <c r="X12" s="88">
        <f t="shared" si="8"/>
        <v>75</v>
      </c>
    </row>
    <row r="13" spans="1:24" ht="15.75" x14ac:dyDescent="0.25">
      <c r="A13" s="135">
        <v>5</v>
      </c>
      <c r="B13" s="18"/>
      <c r="C13" s="18"/>
      <c r="D13" s="18"/>
      <c r="E13" s="19" t="str">
        <f t="shared" si="9"/>
        <v>15+</v>
      </c>
      <c r="F13" s="18" t="str">
        <f t="shared" si="0"/>
        <v>a: Whole training camp</v>
      </c>
      <c r="G13" s="86"/>
      <c r="H13" s="106" t="str">
        <f t="shared" si="1"/>
        <v>-</v>
      </c>
      <c r="I13" s="136"/>
      <c r="J13" s="86"/>
      <c r="K13" s="85">
        <f t="shared" si="2"/>
        <v>0</v>
      </c>
      <c r="L13" s="85">
        <f t="shared" si="3"/>
        <v>0</v>
      </c>
      <c r="M13" s="85">
        <f t="shared" si="10"/>
        <v>0</v>
      </c>
      <c r="N13" s="86"/>
      <c r="O13" s="138" t="str">
        <f t="shared" si="4"/>
        <v>No</v>
      </c>
      <c r="P13" s="87" t="str">
        <f t="shared" si="11"/>
        <v/>
      </c>
      <c r="Q13" s="85">
        <f t="shared" si="12"/>
        <v>0</v>
      </c>
      <c r="S13" s="86"/>
      <c r="T13" s="87" t="str">
        <f t="shared" si="5"/>
        <v/>
      </c>
      <c r="U13" s="87" t="str">
        <f t="shared" si="13"/>
        <v>Nee</v>
      </c>
      <c r="V13" s="82">
        <f t="shared" si="6"/>
        <v>0</v>
      </c>
      <c r="W13" s="82">
        <f t="shared" si="7"/>
        <v>6</v>
      </c>
      <c r="X13" s="88">
        <f t="shared" si="8"/>
        <v>75</v>
      </c>
    </row>
    <row r="14" spans="1:24" ht="15.75" x14ac:dyDescent="0.25">
      <c r="A14" s="135">
        <v>6</v>
      </c>
      <c r="B14" s="18"/>
      <c r="C14" s="18"/>
      <c r="D14" s="18"/>
      <c r="E14" s="19" t="str">
        <f t="shared" si="9"/>
        <v>15+</v>
      </c>
      <c r="F14" s="18" t="str">
        <f t="shared" si="0"/>
        <v>a: Whole training camp</v>
      </c>
      <c r="G14" s="86"/>
      <c r="H14" s="106" t="str">
        <f t="shared" si="1"/>
        <v>-</v>
      </c>
      <c r="I14" s="136"/>
      <c r="J14" s="86"/>
      <c r="K14" s="85">
        <f t="shared" si="2"/>
        <v>0</v>
      </c>
      <c r="L14" s="85">
        <f t="shared" si="3"/>
        <v>0</v>
      </c>
      <c r="M14" s="85">
        <f t="shared" si="10"/>
        <v>0</v>
      </c>
      <c r="N14" s="86"/>
      <c r="O14" s="138" t="str">
        <f t="shared" si="4"/>
        <v>No</v>
      </c>
      <c r="P14" s="87" t="str">
        <f t="shared" si="11"/>
        <v/>
      </c>
      <c r="Q14" s="85">
        <f t="shared" si="12"/>
        <v>0</v>
      </c>
      <c r="S14" s="86"/>
      <c r="T14" s="87" t="str">
        <f t="shared" si="5"/>
        <v/>
      </c>
      <c r="U14" s="87" t="str">
        <f t="shared" si="13"/>
        <v>Nee</v>
      </c>
      <c r="V14" s="82">
        <f t="shared" si="6"/>
        <v>0</v>
      </c>
      <c r="W14" s="82">
        <f t="shared" si="7"/>
        <v>6</v>
      </c>
      <c r="X14" s="88">
        <f t="shared" si="8"/>
        <v>75</v>
      </c>
    </row>
    <row r="15" spans="1:24" ht="15.75" x14ac:dyDescent="0.25">
      <c r="A15" s="135">
        <v>7</v>
      </c>
      <c r="B15" s="18"/>
      <c r="C15" s="18"/>
      <c r="D15" s="18"/>
      <c r="E15" s="19" t="str">
        <f t="shared" si="9"/>
        <v>15+</v>
      </c>
      <c r="F15" s="18" t="str">
        <f t="shared" si="0"/>
        <v>a: Whole training camp</v>
      </c>
      <c r="G15" s="86"/>
      <c r="H15" s="106" t="str">
        <f t="shared" si="1"/>
        <v>-</v>
      </c>
      <c r="I15" s="136"/>
      <c r="J15" s="86"/>
      <c r="K15" s="85">
        <f t="shared" si="2"/>
        <v>0</v>
      </c>
      <c r="L15" s="85">
        <f t="shared" si="3"/>
        <v>0</v>
      </c>
      <c r="M15" s="85">
        <f t="shared" si="10"/>
        <v>0</v>
      </c>
      <c r="N15" s="86"/>
      <c r="O15" s="138" t="str">
        <f t="shared" si="4"/>
        <v>No</v>
      </c>
      <c r="P15" s="87" t="str">
        <f t="shared" si="11"/>
        <v/>
      </c>
      <c r="Q15" s="85">
        <f t="shared" si="12"/>
        <v>0</v>
      </c>
      <c r="S15" s="86"/>
      <c r="T15" s="87" t="str">
        <f t="shared" si="5"/>
        <v/>
      </c>
      <c r="U15" s="87" t="str">
        <f t="shared" si="13"/>
        <v>Nee</v>
      </c>
      <c r="V15" s="82">
        <f t="shared" si="6"/>
        <v>0</v>
      </c>
      <c r="W15" s="82">
        <f t="shared" si="7"/>
        <v>6</v>
      </c>
      <c r="X15" s="88">
        <f t="shared" si="8"/>
        <v>75</v>
      </c>
    </row>
    <row r="16" spans="1:24" ht="15.75" x14ac:dyDescent="0.25">
      <c r="A16" s="135">
        <v>8</v>
      </c>
      <c r="B16" s="18"/>
      <c r="C16" s="18"/>
      <c r="D16" s="18"/>
      <c r="E16" s="19" t="str">
        <f t="shared" ref="E16:E76" si="14">IF(D16&lt;GrensU15,"15+", "15-")</f>
        <v>15+</v>
      </c>
      <c r="F16" s="18" t="str">
        <f t="shared" si="0"/>
        <v>a: Whole training camp</v>
      </c>
      <c r="G16" s="86"/>
      <c r="H16" s="106" t="str">
        <f t="shared" si="1"/>
        <v>-</v>
      </c>
      <c r="I16" s="136"/>
      <c r="J16" s="86"/>
      <c r="K16" s="85">
        <f t="shared" si="2"/>
        <v>0</v>
      </c>
      <c r="L16" s="85">
        <f t="shared" si="3"/>
        <v>0</v>
      </c>
      <c r="M16" s="85">
        <f t="shared" si="10"/>
        <v>0</v>
      </c>
      <c r="N16" s="86"/>
      <c r="O16" s="138" t="str">
        <f t="shared" si="4"/>
        <v>No</v>
      </c>
      <c r="P16" s="87" t="str">
        <f t="shared" si="11"/>
        <v/>
      </c>
      <c r="Q16" s="85">
        <f t="shared" si="12"/>
        <v>0</v>
      </c>
      <c r="S16" s="86"/>
      <c r="T16" s="87" t="str">
        <f t="shared" si="5"/>
        <v/>
      </c>
      <c r="U16" s="87" t="str">
        <f t="shared" si="13"/>
        <v>Nee</v>
      </c>
      <c r="V16" s="82">
        <f t="shared" si="6"/>
        <v>0</v>
      </c>
      <c r="W16" s="82">
        <f t="shared" si="7"/>
        <v>6</v>
      </c>
      <c r="X16" s="88">
        <f t="shared" si="8"/>
        <v>75</v>
      </c>
    </row>
    <row r="17" spans="1:24" ht="15.75" x14ac:dyDescent="0.25">
      <c r="A17" s="135">
        <v>9</v>
      </c>
      <c r="B17" s="18"/>
      <c r="C17" s="18"/>
      <c r="D17" s="18"/>
      <c r="E17" s="19" t="str">
        <f t="shared" si="14"/>
        <v>15+</v>
      </c>
      <c r="F17" s="18" t="str">
        <f t="shared" si="0"/>
        <v>a: Whole training camp</v>
      </c>
      <c r="G17" s="86"/>
      <c r="H17" s="106" t="str">
        <f t="shared" si="1"/>
        <v>-</v>
      </c>
      <c r="I17" s="136"/>
      <c r="J17" s="86"/>
      <c r="K17" s="85">
        <f t="shared" si="2"/>
        <v>0</v>
      </c>
      <c r="L17" s="85">
        <f t="shared" si="3"/>
        <v>0</v>
      </c>
      <c r="M17" s="85">
        <f t="shared" si="10"/>
        <v>0</v>
      </c>
      <c r="N17" s="86"/>
      <c r="O17" s="138" t="str">
        <f t="shared" si="4"/>
        <v>No</v>
      </c>
      <c r="P17" s="87" t="str">
        <f t="shared" si="11"/>
        <v/>
      </c>
      <c r="Q17" s="85">
        <f t="shared" si="12"/>
        <v>0</v>
      </c>
      <c r="S17" s="86"/>
      <c r="T17" s="87" t="str">
        <f t="shared" si="5"/>
        <v/>
      </c>
      <c r="U17" s="87" t="str">
        <f t="shared" si="13"/>
        <v>Nee</v>
      </c>
      <c r="V17" s="82">
        <f t="shared" si="6"/>
        <v>0</v>
      </c>
      <c r="W17" s="82">
        <f t="shared" si="7"/>
        <v>6</v>
      </c>
      <c r="X17" s="88">
        <f t="shared" si="8"/>
        <v>75</v>
      </c>
    </row>
    <row r="18" spans="1:24" ht="15.75" x14ac:dyDescent="0.25">
      <c r="A18" s="135">
        <v>10</v>
      </c>
      <c r="B18" s="18"/>
      <c r="C18" s="18"/>
      <c r="D18" s="18"/>
      <c r="E18" s="19" t="str">
        <f t="shared" si="14"/>
        <v>15+</v>
      </c>
      <c r="F18" s="18" t="str">
        <f t="shared" si="0"/>
        <v>a: Whole training camp</v>
      </c>
      <c r="G18" s="86"/>
      <c r="H18" s="106" t="str">
        <f t="shared" si="1"/>
        <v>-</v>
      </c>
      <c r="I18" s="136"/>
      <c r="J18" s="86"/>
      <c r="K18" s="85">
        <f t="shared" si="2"/>
        <v>0</v>
      </c>
      <c r="L18" s="85">
        <f t="shared" si="3"/>
        <v>0</v>
      </c>
      <c r="M18" s="85">
        <f t="shared" si="10"/>
        <v>0</v>
      </c>
      <c r="N18" s="86"/>
      <c r="O18" s="138" t="str">
        <f t="shared" si="4"/>
        <v>No</v>
      </c>
      <c r="P18" s="87" t="str">
        <f t="shared" si="11"/>
        <v/>
      </c>
      <c r="Q18" s="85">
        <f t="shared" si="12"/>
        <v>0</v>
      </c>
      <c r="S18" s="86"/>
      <c r="T18" s="87" t="str">
        <f t="shared" si="5"/>
        <v/>
      </c>
      <c r="U18" s="87" t="str">
        <f t="shared" si="13"/>
        <v>Nee</v>
      </c>
      <c r="V18" s="82">
        <f t="shared" si="6"/>
        <v>0</v>
      </c>
      <c r="W18" s="82">
        <f t="shared" si="7"/>
        <v>6</v>
      </c>
      <c r="X18" s="88">
        <f t="shared" si="8"/>
        <v>75</v>
      </c>
    </row>
    <row r="19" spans="1:24" ht="15.75" x14ac:dyDescent="0.25">
      <c r="A19" s="135">
        <v>11</v>
      </c>
      <c r="B19" s="18"/>
      <c r="C19" s="18"/>
      <c r="D19" s="18"/>
      <c r="E19" s="19" t="str">
        <f t="shared" si="14"/>
        <v>15+</v>
      </c>
      <c r="F19" s="18" t="str">
        <f t="shared" si="0"/>
        <v>a: Whole training camp</v>
      </c>
      <c r="G19" s="86"/>
      <c r="H19" s="106" t="str">
        <f t="shared" si="1"/>
        <v>-</v>
      </c>
      <c r="I19" s="136"/>
      <c r="J19" s="86"/>
      <c r="K19" s="85">
        <f t="shared" si="2"/>
        <v>0</v>
      </c>
      <c r="L19" s="85">
        <f t="shared" si="3"/>
        <v>0</v>
      </c>
      <c r="M19" s="85">
        <f t="shared" si="10"/>
        <v>0</v>
      </c>
      <c r="N19" s="86"/>
      <c r="O19" s="138" t="str">
        <f t="shared" si="4"/>
        <v>No</v>
      </c>
      <c r="P19" s="87" t="str">
        <f t="shared" si="11"/>
        <v/>
      </c>
      <c r="Q19" s="85">
        <f t="shared" si="12"/>
        <v>0</v>
      </c>
      <c r="S19" s="86"/>
      <c r="T19" s="87" t="str">
        <f t="shared" si="5"/>
        <v/>
      </c>
      <c r="U19" s="87" t="str">
        <f t="shared" si="13"/>
        <v>Nee</v>
      </c>
      <c r="V19" s="82">
        <f t="shared" si="6"/>
        <v>0</v>
      </c>
      <c r="W19" s="82">
        <f t="shared" si="7"/>
        <v>6</v>
      </c>
      <c r="X19" s="88">
        <f t="shared" si="8"/>
        <v>75</v>
      </c>
    </row>
    <row r="20" spans="1:24" ht="15.75" x14ac:dyDescent="0.25">
      <c r="A20" s="135">
        <v>12</v>
      </c>
      <c r="B20" s="18"/>
      <c r="C20" s="18"/>
      <c r="D20" s="18"/>
      <c r="E20" s="19" t="str">
        <f t="shared" si="14"/>
        <v>15+</v>
      </c>
      <c r="F20" s="18" t="str">
        <f t="shared" si="0"/>
        <v>a: Whole training camp</v>
      </c>
      <c r="G20" s="86"/>
      <c r="H20" s="106" t="str">
        <f t="shared" si="1"/>
        <v>-</v>
      </c>
      <c r="I20" s="136"/>
      <c r="J20" s="86"/>
      <c r="K20" s="85">
        <f t="shared" si="2"/>
        <v>0</v>
      </c>
      <c r="L20" s="85">
        <f t="shared" si="3"/>
        <v>0</v>
      </c>
      <c r="M20" s="85">
        <f t="shared" si="10"/>
        <v>0</v>
      </c>
      <c r="N20" s="86"/>
      <c r="O20" s="138" t="str">
        <f t="shared" si="4"/>
        <v>No</v>
      </c>
      <c r="P20" s="87" t="str">
        <f t="shared" si="11"/>
        <v/>
      </c>
      <c r="Q20" s="85">
        <f t="shared" si="12"/>
        <v>0</v>
      </c>
      <c r="S20" s="86"/>
      <c r="T20" s="87" t="str">
        <f t="shared" si="5"/>
        <v/>
      </c>
      <c r="U20" s="87" t="str">
        <f t="shared" si="13"/>
        <v>Nee</v>
      </c>
      <c r="V20" s="82">
        <f t="shared" si="6"/>
        <v>0</v>
      </c>
      <c r="W20" s="82">
        <f t="shared" si="7"/>
        <v>6</v>
      </c>
      <c r="X20" s="88">
        <f t="shared" si="8"/>
        <v>75</v>
      </c>
    </row>
    <row r="21" spans="1:24" ht="15.75" x14ac:dyDescent="0.25">
      <c r="A21" s="135">
        <v>13</v>
      </c>
      <c r="B21" s="18"/>
      <c r="C21" s="18"/>
      <c r="D21" s="18"/>
      <c r="E21" s="19" t="str">
        <f t="shared" si="14"/>
        <v>15+</v>
      </c>
      <c r="F21" s="18" t="str">
        <f t="shared" si="0"/>
        <v>a: Whole training camp</v>
      </c>
      <c r="G21" s="86"/>
      <c r="H21" s="106" t="str">
        <f t="shared" si="1"/>
        <v>-</v>
      </c>
      <c r="I21" s="136"/>
      <c r="J21" s="86"/>
      <c r="K21" s="85">
        <f t="shared" si="2"/>
        <v>0</v>
      </c>
      <c r="L21" s="85">
        <f t="shared" si="3"/>
        <v>0</v>
      </c>
      <c r="M21" s="85">
        <f t="shared" si="10"/>
        <v>0</v>
      </c>
      <c r="N21" s="86"/>
      <c r="O21" s="138" t="str">
        <f t="shared" si="4"/>
        <v>No</v>
      </c>
      <c r="P21" s="87" t="str">
        <f t="shared" si="11"/>
        <v/>
      </c>
      <c r="Q21" s="85">
        <f t="shared" si="12"/>
        <v>0</v>
      </c>
      <c r="S21" s="86"/>
      <c r="T21" s="87" t="str">
        <f t="shared" si="5"/>
        <v/>
      </c>
      <c r="U21" s="87" t="str">
        <f t="shared" si="13"/>
        <v>Nee</v>
      </c>
      <c r="V21" s="82">
        <f t="shared" si="6"/>
        <v>0</v>
      </c>
      <c r="W21" s="82">
        <f t="shared" si="7"/>
        <v>6</v>
      </c>
      <c r="X21" s="88">
        <f t="shared" si="8"/>
        <v>75</v>
      </c>
    </row>
    <row r="22" spans="1:24" ht="15.75" x14ac:dyDescent="0.25">
      <c r="A22" s="135">
        <v>14</v>
      </c>
      <c r="B22" s="18"/>
      <c r="C22" s="18"/>
      <c r="D22" s="18"/>
      <c r="E22" s="19" t="str">
        <f t="shared" si="14"/>
        <v>15+</v>
      </c>
      <c r="F22" s="18" t="str">
        <f t="shared" si="0"/>
        <v>a: Whole training camp</v>
      </c>
      <c r="G22" s="86"/>
      <c r="H22" s="106" t="str">
        <f t="shared" si="1"/>
        <v>-</v>
      </c>
      <c r="I22" s="136"/>
      <c r="J22" s="86"/>
      <c r="K22" s="85">
        <f t="shared" si="2"/>
        <v>0</v>
      </c>
      <c r="L22" s="85">
        <f t="shared" si="3"/>
        <v>0</v>
      </c>
      <c r="M22" s="85">
        <f t="shared" si="10"/>
        <v>0</v>
      </c>
      <c r="N22" s="86"/>
      <c r="O22" s="138" t="str">
        <f t="shared" si="4"/>
        <v>No</v>
      </c>
      <c r="P22" s="87" t="str">
        <f t="shared" si="11"/>
        <v/>
      </c>
      <c r="Q22" s="85">
        <f t="shared" si="12"/>
        <v>0</v>
      </c>
      <c r="S22" s="86"/>
      <c r="T22" s="87" t="str">
        <f t="shared" si="5"/>
        <v/>
      </c>
      <c r="U22" s="87" t="str">
        <f t="shared" si="13"/>
        <v>Nee</v>
      </c>
      <c r="V22" s="82">
        <f t="shared" si="6"/>
        <v>0</v>
      </c>
      <c r="W22" s="82">
        <f t="shared" si="7"/>
        <v>6</v>
      </c>
      <c r="X22" s="88">
        <f t="shared" si="8"/>
        <v>75</v>
      </c>
    </row>
    <row r="23" spans="1:24" ht="15.75" x14ac:dyDescent="0.25">
      <c r="A23" s="135">
        <v>15</v>
      </c>
      <c r="B23" s="18"/>
      <c r="C23" s="18"/>
      <c r="D23" s="18"/>
      <c r="E23" s="19" t="str">
        <f t="shared" si="14"/>
        <v>15+</v>
      </c>
      <c r="F23" s="18" t="str">
        <f t="shared" si="0"/>
        <v>a: Whole training camp</v>
      </c>
      <c r="G23" s="86"/>
      <c r="H23" s="106" t="str">
        <f t="shared" si="1"/>
        <v>-</v>
      </c>
      <c r="I23" s="136"/>
      <c r="J23" s="86"/>
      <c r="K23" s="85">
        <f t="shared" si="2"/>
        <v>0</v>
      </c>
      <c r="L23" s="85">
        <f t="shared" si="3"/>
        <v>0</v>
      </c>
      <c r="M23" s="85">
        <f t="shared" si="10"/>
        <v>0</v>
      </c>
      <c r="N23" s="86"/>
      <c r="O23" s="138" t="str">
        <f t="shared" si="4"/>
        <v>No</v>
      </c>
      <c r="P23" s="87" t="str">
        <f t="shared" si="11"/>
        <v/>
      </c>
      <c r="Q23" s="85">
        <f t="shared" si="12"/>
        <v>0</v>
      </c>
      <c r="S23" s="86"/>
      <c r="T23" s="87" t="str">
        <f t="shared" si="5"/>
        <v/>
      </c>
      <c r="U23" s="87" t="str">
        <f t="shared" si="13"/>
        <v>Nee</v>
      </c>
      <c r="V23" s="82">
        <f t="shared" si="6"/>
        <v>0</v>
      </c>
      <c r="W23" s="82">
        <f t="shared" si="7"/>
        <v>6</v>
      </c>
      <c r="X23" s="88">
        <f t="shared" si="8"/>
        <v>75</v>
      </c>
    </row>
    <row r="24" spans="1:24" ht="15.75" x14ac:dyDescent="0.25">
      <c r="A24" s="135">
        <v>16</v>
      </c>
      <c r="B24" s="18"/>
      <c r="C24" s="18"/>
      <c r="D24" s="18"/>
      <c r="E24" s="19" t="str">
        <f t="shared" si="14"/>
        <v>15+</v>
      </c>
      <c r="F24" s="18" t="str">
        <f t="shared" si="0"/>
        <v>a: Whole training camp</v>
      </c>
      <c r="G24" s="86"/>
      <c r="H24" s="106" t="str">
        <f t="shared" si="1"/>
        <v>-</v>
      </c>
      <c r="I24" s="136"/>
      <c r="J24" s="86"/>
      <c r="K24" s="85">
        <f t="shared" si="2"/>
        <v>0</v>
      </c>
      <c r="L24" s="85">
        <f t="shared" si="3"/>
        <v>0</v>
      </c>
      <c r="M24" s="85">
        <f t="shared" si="10"/>
        <v>0</v>
      </c>
      <c r="N24" s="86"/>
      <c r="O24" s="138" t="str">
        <f t="shared" si="4"/>
        <v>No</v>
      </c>
      <c r="P24" s="87" t="str">
        <f t="shared" si="11"/>
        <v/>
      </c>
      <c r="Q24" s="85">
        <f t="shared" si="12"/>
        <v>0</v>
      </c>
      <c r="S24" s="86"/>
      <c r="T24" s="87" t="str">
        <f t="shared" si="5"/>
        <v/>
      </c>
      <c r="U24" s="87" t="str">
        <f t="shared" si="13"/>
        <v>Nee</v>
      </c>
      <c r="V24" s="82">
        <f t="shared" si="6"/>
        <v>0</v>
      </c>
      <c r="W24" s="82">
        <f t="shared" si="7"/>
        <v>6</v>
      </c>
      <c r="X24" s="88">
        <f t="shared" si="8"/>
        <v>75</v>
      </c>
    </row>
    <row r="25" spans="1:24" ht="15.75" x14ac:dyDescent="0.25">
      <c r="A25" s="135">
        <v>17</v>
      </c>
      <c r="B25" s="18"/>
      <c r="C25" s="18"/>
      <c r="D25" s="18"/>
      <c r="E25" s="19" t="str">
        <f t="shared" si="14"/>
        <v>15+</v>
      </c>
      <c r="F25" s="18" t="str">
        <f t="shared" si="0"/>
        <v>a: Whole training camp</v>
      </c>
      <c r="G25" s="86"/>
      <c r="H25" s="106" t="str">
        <f t="shared" si="1"/>
        <v>-</v>
      </c>
      <c r="I25" s="136"/>
      <c r="J25" s="86"/>
      <c r="K25" s="85">
        <f t="shared" si="2"/>
        <v>0</v>
      </c>
      <c r="L25" s="85">
        <f t="shared" si="3"/>
        <v>0</v>
      </c>
      <c r="M25" s="85">
        <f t="shared" si="10"/>
        <v>0</v>
      </c>
      <c r="N25" s="86"/>
      <c r="O25" s="138" t="str">
        <f t="shared" si="4"/>
        <v>No</v>
      </c>
      <c r="P25" s="87" t="str">
        <f t="shared" si="11"/>
        <v/>
      </c>
      <c r="Q25" s="85">
        <f t="shared" si="12"/>
        <v>0</v>
      </c>
      <c r="S25" s="86"/>
      <c r="T25" s="87" t="str">
        <f t="shared" si="5"/>
        <v/>
      </c>
      <c r="U25" s="87" t="str">
        <f t="shared" si="13"/>
        <v>Nee</v>
      </c>
      <c r="V25" s="82">
        <f t="shared" si="6"/>
        <v>0</v>
      </c>
      <c r="W25" s="82">
        <f t="shared" si="7"/>
        <v>6</v>
      </c>
      <c r="X25" s="88">
        <f t="shared" si="8"/>
        <v>75</v>
      </c>
    </row>
    <row r="26" spans="1:24" ht="15.75" x14ac:dyDescent="0.25">
      <c r="A26" s="135">
        <v>18</v>
      </c>
      <c r="B26" s="18"/>
      <c r="C26" s="18"/>
      <c r="D26" s="18"/>
      <c r="E26" s="19" t="str">
        <f t="shared" si="14"/>
        <v>15+</v>
      </c>
      <c r="F26" s="18" t="str">
        <f t="shared" si="0"/>
        <v>a: Whole training camp</v>
      </c>
      <c r="G26" s="86"/>
      <c r="H26" s="106" t="str">
        <f t="shared" si="1"/>
        <v>-</v>
      </c>
      <c r="I26" s="136"/>
      <c r="J26" s="86"/>
      <c r="K26" s="85">
        <f t="shared" si="2"/>
        <v>0</v>
      </c>
      <c r="L26" s="85">
        <f t="shared" si="3"/>
        <v>0</v>
      </c>
      <c r="M26" s="85">
        <f t="shared" si="10"/>
        <v>0</v>
      </c>
      <c r="N26" s="86"/>
      <c r="O26" s="138" t="str">
        <f t="shared" si="4"/>
        <v>No</v>
      </c>
      <c r="P26" s="87" t="str">
        <f t="shared" si="11"/>
        <v/>
      </c>
      <c r="Q26" s="85">
        <f t="shared" si="12"/>
        <v>0</v>
      </c>
      <c r="S26" s="86"/>
      <c r="T26" s="87" t="str">
        <f t="shared" si="5"/>
        <v/>
      </c>
      <c r="U26" s="87" t="str">
        <f t="shared" si="13"/>
        <v>Nee</v>
      </c>
      <c r="V26" s="82">
        <f t="shared" si="6"/>
        <v>0</v>
      </c>
      <c r="W26" s="82">
        <f t="shared" si="7"/>
        <v>6</v>
      </c>
      <c r="X26" s="88">
        <f t="shared" si="8"/>
        <v>75</v>
      </c>
    </row>
    <row r="27" spans="1:24" ht="15.75" x14ac:dyDescent="0.25">
      <c r="A27" s="135">
        <v>19</v>
      </c>
      <c r="B27" s="18"/>
      <c r="C27" s="18"/>
      <c r="D27" s="18"/>
      <c r="E27" s="19" t="str">
        <f t="shared" si="14"/>
        <v>15+</v>
      </c>
      <c r="F27" s="18" t="str">
        <f t="shared" si="0"/>
        <v>a: Whole training camp</v>
      </c>
      <c r="G27" s="86"/>
      <c r="H27" s="106" t="str">
        <f t="shared" si="1"/>
        <v>-</v>
      </c>
      <c r="I27" s="136"/>
      <c r="J27" s="86"/>
      <c r="K27" s="85">
        <f t="shared" si="2"/>
        <v>0</v>
      </c>
      <c r="L27" s="85">
        <f t="shared" si="3"/>
        <v>0</v>
      </c>
      <c r="M27" s="85">
        <f t="shared" si="10"/>
        <v>0</v>
      </c>
      <c r="N27" s="86"/>
      <c r="O27" s="138" t="str">
        <f t="shared" si="4"/>
        <v>No</v>
      </c>
      <c r="P27" s="87" t="str">
        <f t="shared" si="11"/>
        <v/>
      </c>
      <c r="Q27" s="85">
        <f t="shared" si="12"/>
        <v>0</v>
      </c>
      <c r="S27" s="86"/>
      <c r="T27" s="87" t="str">
        <f t="shared" si="5"/>
        <v/>
      </c>
      <c r="U27" s="87" t="str">
        <f t="shared" si="13"/>
        <v>Nee</v>
      </c>
      <c r="V27" s="82">
        <f t="shared" si="6"/>
        <v>0</v>
      </c>
      <c r="W27" s="82">
        <f t="shared" si="7"/>
        <v>6</v>
      </c>
      <c r="X27" s="88">
        <f t="shared" si="8"/>
        <v>75</v>
      </c>
    </row>
    <row r="28" spans="1:24" ht="15.75" x14ac:dyDescent="0.25">
      <c r="A28" s="135">
        <v>20</v>
      </c>
      <c r="B28" s="18"/>
      <c r="C28" s="18"/>
      <c r="D28" s="18"/>
      <c r="E28" s="19" t="str">
        <f t="shared" si="14"/>
        <v>15+</v>
      </c>
      <c r="F28" s="18" t="str">
        <f t="shared" si="0"/>
        <v>a: Whole training camp</v>
      </c>
      <c r="G28" s="86"/>
      <c r="H28" s="106" t="str">
        <f t="shared" si="1"/>
        <v>-</v>
      </c>
      <c r="I28" s="136"/>
      <c r="J28" s="86"/>
      <c r="K28" s="85">
        <f t="shared" si="2"/>
        <v>0</v>
      </c>
      <c r="L28" s="85">
        <f t="shared" si="3"/>
        <v>0</v>
      </c>
      <c r="M28" s="85">
        <f t="shared" si="10"/>
        <v>0</v>
      </c>
      <c r="N28" s="86"/>
      <c r="O28" s="138" t="str">
        <f t="shared" si="4"/>
        <v>No</v>
      </c>
      <c r="P28" s="87" t="str">
        <f t="shared" si="11"/>
        <v/>
      </c>
      <c r="Q28" s="85">
        <f t="shared" si="12"/>
        <v>0</v>
      </c>
      <c r="S28" s="86"/>
      <c r="T28" s="87" t="str">
        <f t="shared" si="5"/>
        <v/>
      </c>
      <c r="U28" s="87" t="str">
        <f t="shared" si="13"/>
        <v>Nee</v>
      </c>
      <c r="V28" s="82">
        <f t="shared" si="6"/>
        <v>0</v>
      </c>
      <c r="W28" s="82">
        <f t="shared" si="7"/>
        <v>6</v>
      </c>
      <c r="X28" s="88">
        <f t="shared" si="8"/>
        <v>75</v>
      </c>
    </row>
    <row r="29" spans="1:24" ht="15.75" x14ac:dyDescent="0.25">
      <c r="A29" s="135">
        <v>21</v>
      </c>
      <c r="B29" s="18"/>
      <c r="C29" s="18"/>
      <c r="D29" s="18"/>
      <c r="E29" s="19" t="str">
        <f t="shared" si="14"/>
        <v>15+</v>
      </c>
      <c r="F29" s="18" t="str">
        <f t="shared" si="0"/>
        <v>a: Whole training camp</v>
      </c>
      <c r="G29" s="86"/>
      <c r="H29" s="106" t="str">
        <f t="shared" si="1"/>
        <v>-</v>
      </c>
      <c r="I29" s="136"/>
      <c r="J29" s="86"/>
      <c r="K29" s="85">
        <f t="shared" si="2"/>
        <v>0</v>
      </c>
      <c r="L29" s="85">
        <f t="shared" si="3"/>
        <v>0</v>
      </c>
      <c r="M29" s="85">
        <f t="shared" si="10"/>
        <v>0</v>
      </c>
      <c r="N29" s="86"/>
      <c r="O29" s="138" t="str">
        <f t="shared" si="4"/>
        <v>No</v>
      </c>
      <c r="P29" s="87" t="str">
        <f t="shared" si="11"/>
        <v/>
      </c>
      <c r="Q29" s="85">
        <f t="shared" si="12"/>
        <v>0</v>
      </c>
      <c r="S29" s="86"/>
      <c r="T29" s="87" t="str">
        <f t="shared" si="5"/>
        <v/>
      </c>
      <c r="U29" s="87" t="str">
        <f t="shared" si="13"/>
        <v>Nee</v>
      </c>
      <c r="V29" s="82">
        <f t="shared" si="6"/>
        <v>0</v>
      </c>
      <c r="W29" s="82">
        <f t="shared" si="7"/>
        <v>6</v>
      </c>
      <c r="X29" s="88">
        <f t="shared" si="8"/>
        <v>75</v>
      </c>
    </row>
    <row r="30" spans="1:24" ht="15.75" x14ac:dyDescent="0.25">
      <c r="A30" s="135">
        <v>22</v>
      </c>
      <c r="B30" s="18"/>
      <c r="C30" s="18"/>
      <c r="D30" s="18"/>
      <c r="E30" s="19" t="str">
        <f t="shared" si="14"/>
        <v>15+</v>
      </c>
      <c r="F30" s="18" t="str">
        <f t="shared" si="0"/>
        <v>a: Whole training camp</v>
      </c>
      <c r="G30" s="86"/>
      <c r="H30" s="106" t="str">
        <f t="shared" si="1"/>
        <v>-</v>
      </c>
      <c r="I30" s="136"/>
      <c r="J30" s="86"/>
      <c r="K30" s="85">
        <f t="shared" si="2"/>
        <v>0</v>
      </c>
      <c r="L30" s="85">
        <f t="shared" si="3"/>
        <v>0</v>
      </c>
      <c r="M30" s="85">
        <f t="shared" si="10"/>
        <v>0</v>
      </c>
      <c r="N30" s="86"/>
      <c r="O30" s="138" t="str">
        <f t="shared" si="4"/>
        <v>No</v>
      </c>
      <c r="P30" s="87" t="str">
        <f t="shared" si="11"/>
        <v/>
      </c>
      <c r="Q30" s="85">
        <f t="shared" si="12"/>
        <v>0</v>
      </c>
      <c r="S30" s="86"/>
      <c r="T30" s="87" t="str">
        <f t="shared" si="5"/>
        <v/>
      </c>
      <c r="U30" s="87" t="str">
        <f t="shared" si="13"/>
        <v>Nee</v>
      </c>
      <c r="V30" s="82">
        <f t="shared" si="6"/>
        <v>0</v>
      </c>
      <c r="W30" s="82">
        <f t="shared" si="7"/>
        <v>6</v>
      </c>
      <c r="X30" s="88">
        <f t="shared" si="8"/>
        <v>75</v>
      </c>
    </row>
    <row r="31" spans="1:24" ht="15.75" x14ac:dyDescent="0.25">
      <c r="A31" s="135">
        <v>23</v>
      </c>
      <c r="B31" s="18"/>
      <c r="C31" s="18"/>
      <c r="D31" s="18"/>
      <c r="E31" s="19" t="str">
        <f t="shared" si="14"/>
        <v>15+</v>
      </c>
      <c r="F31" s="18" t="str">
        <f t="shared" si="0"/>
        <v>a: Whole training camp</v>
      </c>
      <c r="G31" s="86"/>
      <c r="H31" s="106" t="str">
        <f t="shared" si="1"/>
        <v>-</v>
      </c>
      <c r="I31" s="136"/>
      <c r="J31" s="86"/>
      <c r="K31" s="85">
        <f t="shared" si="2"/>
        <v>0</v>
      </c>
      <c r="L31" s="85">
        <f t="shared" si="3"/>
        <v>0</v>
      </c>
      <c r="M31" s="85">
        <f t="shared" si="10"/>
        <v>0</v>
      </c>
      <c r="N31" s="86"/>
      <c r="O31" s="138" t="str">
        <f t="shared" si="4"/>
        <v>No</v>
      </c>
      <c r="P31" s="87" t="str">
        <f t="shared" si="11"/>
        <v/>
      </c>
      <c r="Q31" s="85">
        <f t="shared" si="12"/>
        <v>0</v>
      </c>
      <c r="S31" s="86"/>
      <c r="T31" s="87" t="str">
        <f t="shared" si="5"/>
        <v/>
      </c>
      <c r="U31" s="87" t="str">
        <f t="shared" si="13"/>
        <v>Nee</v>
      </c>
      <c r="V31" s="82">
        <f t="shared" si="6"/>
        <v>0</v>
      </c>
      <c r="W31" s="82">
        <f t="shared" si="7"/>
        <v>6</v>
      </c>
      <c r="X31" s="88">
        <f t="shared" si="8"/>
        <v>75</v>
      </c>
    </row>
    <row r="32" spans="1:24" ht="15.75" x14ac:dyDescent="0.25">
      <c r="A32" s="135">
        <v>24</v>
      </c>
      <c r="B32" s="18"/>
      <c r="C32" s="18"/>
      <c r="D32" s="18"/>
      <c r="E32" s="19" t="str">
        <f t="shared" si="14"/>
        <v>15+</v>
      </c>
      <c r="F32" s="18" t="str">
        <f t="shared" si="0"/>
        <v>a: Whole training camp</v>
      </c>
      <c r="G32" s="86"/>
      <c r="H32" s="106" t="str">
        <f t="shared" si="1"/>
        <v>-</v>
      </c>
      <c r="I32" s="136"/>
      <c r="J32" s="86"/>
      <c r="K32" s="85">
        <f t="shared" si="2"/>
        <v>0</v>
      </c>
      <c r="L32" s="85">
        <f t="shared" si="3"/>
        <v>0</v>
      </c>
      <c r="M32" s="85">
        <f t="shared" si="10"/>
        <v>0</v>
      </c>
      <c r="N32" s="86"/>
      <c r="O32" s="138" t="str">
        <f t="shared" si="4"/>
        <v>No</v>
      </c>
      <c r="P32" s="87" t="str">
        <f t="shared" si="11"/>
        <v/>
      </c>
      <c r="Q32" s="85">
        <f t="shared" si="12"/>
        <v>0</v>
      </c>
      <c r="S32" s="86"/>
      <c r="T32" s="87" t="str">
        <f t="shared" si="5"/>
        <v/>
      </c>
      <c r="U32" s="87" t="str">
        <f t="shared" si="13"/>
        <v>Nee</v>
      </c>
      <c r="V32" s="82">
        <f t="shared" si="6"/>
        <v>0</v>
      </c>
      <c r="W32" s="82">
        <f t="shared" si="7"/>
        <v>6</v>
      </c>
      <c r="X32" s="88">
        <f t="shared" si="8"/>
        <v>75</v>
      </c>
    </row>
    <row r="33" spans="1:24" ht="15.75" x14ac:dyDescent="0.25">
      <c r="A33" s="135">
        <v>25</v>
      </c>
      <c r="B33" s="18"/>
      <c r="C33" s="18"/>
      <c r="D33" s="18"/>
      <c r="E33" s="19" t="str">
        <f t="shared" si="14"/>
        <v>15+</v>
      </c>
      <c r="F33" s="18" t="str">
        <f t="shared" si="0"/>
        <v>a: Whole training camp</v>
      </c>
      <c r="G33" s="86"/>
      <c r="H33" s="106" t="str">
        <f t="shared" si="1"/>
        <v>-</v>
      </c>
      <c r="I33" s="136"/>
      <c r="J33" s="86"/>
      <c r="K33" s="85">
        <f t="shared" si="2"/>
        <v>0</v>
      </c>
      <c r="L33" s="85">
        <f t="shared" si="3"/>
        <v>0</v>
      </c>
      <c r="M33" s="85">
        <f t="shared" si="10"/>
        <v>0</v>
      </c>
      <c r="N33" s="86"/>
      <c r="O33" s="138" t="str">
        <f t="shared" si="4"/>
        <v>No</v>
      </c>
      <c r="P33" s="87" t="str">
        <f t="shared" si="11"/>
        <v/>
      </c>
      <c r="Q33" s="85">
        <f t="shared" si="12"/>
        <v>0</v>
      </c>
      <c r="S33" s="86"/>
      <c r="T33" s="87" t="str">
        <f t="shared" si="5"/>
        <v/>
      </c>
      <c r="U33" s="87" t="str">
        <f t="shared" si="13"/>
        <v>Nee</v>
      </c>
      <c r="V33" s="82">
        <f t="shared" si="6"/>
        <v>0</v>
      </c>
      <c r="W33" s="82">
        <f t="shared" si="7"/>
        <v>6</v>
      </c>
      <c r="X33" s="88">
        <f t="shared" si="8"/>
        <v>75</v>
      </c>
    </row>
    <row r="34" spans="1:24" ht="15.75" x14ac:dyDescent="0.25">
      <c r="A34" s="135">
        <v>26</v>
      </c>
      <c r="B34" s="18"/>
      <c r="C34" s="18"/>
      <c r="D34" s="18"/>
      <c r="E34" s="19" t="str">
        <f t="shared" si="14"/>
        <v>15+</v>
      </c>
      <c r="F34" s="18" t="str">
        <f t="shared" si="0"/>
        <v>a: Whole training camp</v>
      </c>
      <c r="G34" s="86"/>
      <c r="H34" s="106" t="str">
        <f t="shared" si="1"/>
        <v>-</v>
      </c>
      <c r="I34" s="136"/>
      <c r="J34" s="86"/>
      <c r="K34" s="85">
        <f t="shared" si="2"/>
        <v>0</v>
      </c>
      <c r="L34" s="85">
        <f t="shared" si="3"/>
        <v>0</v>
      </c>
      <c r="M34" s="85">
        <f t="shared" si="10"/>
        <v>0</v>
      </c>
      <c r="N34" s="86"/>
      <c r="O34" s="138" t="str">
        <f t="shared" si="4"/>
        <v>No</v>
      </c>
      <c r="P34" s="87" t="str">
        <f t="shared" si="11"/>
        <v/>
      </c>
      <c r="Q34" s="85">
        <f t="shared" si="12"/>
        <v>0</v>
      </c>
      <c r="S34" s="86"/>
      <c r="T34" s="87" t="str">
        <f t="shared" si="5"/>
        <v/>
      </c>
      <c r="U34" s="87" t="str">
        <f t="shared" si="13"/>
        <v>Nee</v>
      </c>
      <c r="V34" s="82">
        <f t="shared" si="6"/>
        <v>0</v>
      </c>
      <c r="W34" s="82">
        <f t="shared" si="7"/>
        <v>6</v>
      </c>
      <c r="X34" s="88">
        <f t="shared" si="8"/>
        <v>75</v>
      </c>
    </row>
    <row r="35" spans="1:24" ht="15.75" x14ac:dyDescent="0.25">
      <c r="A35" s="135">
        <v>27</v>
      </c>
      <c r="B35" s="18"/>
      <c r="C35" s="18"/>
      <c r="D35" s="18"/>
      <c r="E35" s="19" t="str">
        <f t="shared" si="14"/>
        <v>15+</v>
      </c>
      <c r="F35" s="18" t="str">
        <f t="shared" si="0"/>
        <v>a: Whole training camp</v>
      </c>
      <c r="G35" s="86"/>
      <c r="H35" s="106" t="str">
        <f t="shared" si="1"/>
        <v>-</v>
      </c>
      <c r="I35" s="136"/>
      <c r="J35" s="86"/>
      <c r="K35" s="85">
        <f t="shared" si="2"/>
        <v>0</v>
      </c>
      <c r="L35" s="85">
        <f t="shared" si="3"/>
        <v>0</v>
      </c>
      <c r="M35" s="85">
        <f t="shared" si="10"/>
        <v>0</v>
      </c>
      <c r="N35" s="86"/>
      <c r="O35" s="138" t="str">
        <f t="shared" si="4"/>
        <v>No</v>
      </c>
      <c r="P35" s="87" t="str">
        <f t="shared" si="11"/>
        <v/>
      </c>
      <c r="Q35" s="85">
        <f t="shared" si="12"/>
        <v>0</v>
      </c>
      <c r="S35" s="86"/>
      <c r="T35" s="87" t="str">
        <f t="shared" si="5"/>
        <v/>
      </c>
      <c r="U35" s="87" t="str">
        <f t="shared" si="13"/>
        <v>Nee</v>
      </c>
      <c r="V35" s="82">
        <f t="shared" si="6"/>
        <v>0</v>
      </c>
      <c r="W35" s="82">
        <f t="shared" si="7"/>
        <v>6</v>
      </c>
      <c r="X35" s="88">
        <f t="shared" si="8"/>
        <v>75</v>
      </c>
    </row>
    <row r="36" spans="1:24" ht="15.75" x14ac:dyDescent="0.25">
      <c r="A36" s="135">
        <v>28</v>
      </c>
      <c r="B36" s="18"/>
      <c r="C36" s="18"/>
      <c r="D36" s="18"/>
      <c r="E36" s="19" t="str">
        <f t="shared" si="14"/>
        <v>15+</v>
      </c>
      <c r="F36" s="18" t="str">
        <f t="shared" si="0"/>
        <v>a: Whole training camp</v>
      </c>
      <c r="G36" s="86"/>
      <c r="H36" s="106" t="str">
        <f t="shared" si="1"/>
        <v>-</v>
      </c>
      <c r="I36" s="136"/>
      <c r="J36" s="86"/>
      <c r="K36" s="85">
        <f t="shared" si="2"/>
        <v>0</v>
      </c>
      <c r="L36" s="85">
        <f t="shared" si="3"/>
        <v>0</v>
      </c>
      <c r="M36" s="85">
        <f t="shared" si="10"/>
        <v>0</v>
      </c>
      <c r="N36" s="86"/>
      <c r="O36" s="138" t="str">
        <f t="shared" si="4"/>
        <v>No</v>
      </c>
      <c r="P36" s="87" t="str">
        <f t="shared" si="11"/>
        <v/>
      </c>
      <c r="Q36" s="85">
        <f t="shared" si="12"/>
        <v>0</v>
      </c>
      <c r="S36" s="86"/>
      <c r="T36" s="87" t="str">
        <f t="shared" si="5"/>
        <v/>
      </c>
      <c r="U36" s="87" t="str">
        <f t="shared" si="13"/>
        <v>Nee</v>
      </c>
      <c r="V36" s="82">
        <f t="shared" si="6"/>
        <v>0</v>
      </c>
      <c r="W36" s="82">
        <f t="shared" si="7"/>
        <v>6</v>
      </c>
      <c r="X36" s="88">
        <f t="shared" si="8"/>
        <v>75</v>
      </c>
    </row>
    <row r="37" spans="1:24" ht="15.75" x14ac:dyDescent="0.25">
      <c r="A37" s="135">
        <v>29</v>
      </c>
      <c r="B37" s="18"/>
      <c r="C37" s="18"/>
      <c r="D37" s="18"/>
      <c r="E37" s="19" t="str">
        <f t="shared" si="14"/>
        <v>15+</v>
      </c>
      <c r="F37" s="18" t="str">
        <f t="shared" si="0"/>
        <v>a: Whole training camp</v>
      </c>
      <c r="G37" s="86"/>
      <c r="H37" s="106" t="str">
        <f t="shared" si="1"/>
        <v>-</v>
      </c>
      <c r="I37" s="136"/>
      <c r="J37" s="86"/>
      <c r="K37" s="85">
        <f t="shared" si="2"/>
        <v>0</v>
      </c>
      <c r="L37" s="85">
        <f t="shared" si="3"/>
        <v>0</v>
      </c>
      <c r="M37" s="85">
        <f t="shared" si="10"/>
        <v>0</v>
      </c>
      <c r="N37" s="86"/>
      <c r="O37" s="138" t="str">
        <f t="shared" si="4"/>
        <v>No</v>
      </c>
      <c r="P37" s="87" t="str">
        <f t="shared" si="11"/>
        <v/>
      </c>
      <c r="Q37" s="85">
        <f t="shared" si="12"/>
        <v>0</v>
      </c>
      <c r="S37" s="86"/>
      <c r="T37" s="87" t="str">
        <f t="shared" si="5"/>
        <v/>
      </c>
      <c r="U37" s="87" t="str">
        <f t="shared" si="13"/>
        <v>Nee</v>
      </c>
      <c r="V37" s="82">
        <f t="shared" si="6"/>
        <v>0</v>
      </c>
      <c r="W37" s="82">
        <f t="shared" si="7"/>
        <v>6</v>
      </c>
      <c r="X37" s="88">
        <f t="shared" si="8"/>
        <v>75</v>
      </c>
    </row>
    <row r="38" spans="1:24" ht="15.75" x14ac:dyDescent="0.25">
      <c r="A38" s="135">
        <v>30</v>
      </c>
      <c r="B38" s="18"/>
      <c r="C38" s="18"/>
      <c r="D38" s="18"/>
      <c r="E38" s="19" t="str">
        <f t="shared" si="14"/>
        <v>15+</v>
      </c>
      <c r="F38" s="18" t="str">
        <f t="shared" si="0"/>
        <v>a: Whole training camp</v>
      </c>
      <c r="G38" s="86"/>
      <c r="H38" s="106" t="str">
        <f t="shared" si="1"/>
        <v>-</v>
      </c>
      <c r="I38" s="136"/>
      <c r="J38" s="86"/>
      <c r="K38" s="85">
        <f t="shared" si="2"/>
        <v>0</v>
      </c>
      <c r="L38" s="85">
        <f t="shared" si="3"/>
        <v>0</v>
      </c>
      <c r="M38" s="85">
        <f t="shared" si="10"/>
        <v>0</v>
      </c>
      <c r="N38" s="86"/>
      <c r="O38" s="138" t="str">
        <f t="shared" si="4"/>
        <v>No</v>
      </c>
      <c r="P38" s="87" t="str">
        <f t="shared" si="11"/>
        <v/>
      </c>
      <c r="Q38" s="85">
        <f t="shared" si="12"/>
        <v>0</v>
      </c>
      <c r="S38" s="86"/>
      <c r="T38" s="87" t="str">
        <f t="shared" si="5"/>
        <v/>
      </c>
      <c r="U38" s="87" t="str">
        <f t="shared" si="13"/>
        <v>Nee</v>
      </c>
      <c r="V38" s="82">
        <f t="shared" si="6"/>
        <v>0</v>
      </c>
      <c r="W38" s="82">
        <f t="shared" si="7"/>
        <v>6</v>
      </c>
      <c r="X38" s="88">
        <f t="shared" si="8"/>
        <v>75</v>
      </c>
    </row>
    <row r="39" spans="1:24" ht="15.75" x14ac:dyDescent="0.25">
      <c r="A39" s="135">
        <v>31</v>
      </c>
      <c r="B39" s="18"/>
      <c r="C39" s="18"/>
      <c r="D39" s="18"/>
      <c r="E39" s="19" t="str">
        <f t="shared" si="14"/>
        <v>15+</v>
      </c>
      <c r="F39" s="18" t="str">
        <f t="shared" si="0"/>
        <v>a: Whole training camp</v>
      </c>
      <c r="G39" s="86"/>
      <c r="H39" s="106" t="str">
        <f t="shared" si="1"/>
        <v>-</v>
      </c>
      <c r="I39" s="136"/>
      <c r="J39" s="86"/>
      <c r="K39" s="85">
        <f t="shared" si="2"/>
        <v>0</v>
      </c>
      <c r="L39" s="85">
        <f t="shared" si="3"/>
        <v>0</v>
      </c>
      <c r="M39" s="85">
        <f t="shared" si="10"/>
        <v>0</v>
      </c>
      <c r="N39" s="86"/>
      <c r="O39" s="138" t="str">
        <f t="shared" si="4"/>
        <v>No</v>
      </c>
      <c r="P39" s="87" t="str">
        <f t="shared" si="11"/>
        <v/>
      </c>
      <c r="Q39" s="85">
        <f t="shared" si="12"/>
        <v>0</v>
      </c>
      <c r="S39" s="86"/>
      <c r="T39" s="87" t="str">
        <f t="shared" si="5"/>
        <v/>
      </c>
      <c r="U39" s="87" t="str">
        <f t="shared" si="13"/>
        <v>Nee</v>
      </c>
      <c r="V39" s="82">
        <f t="shared" si="6"/>
        <v>0</v>
      </c>
      <c r="W39" s="82">
        <f t="shared" si="7"/>
        <v>6</v>
      </c>
      <c r="X39" s="88">
        <f t="shared" si="8"/>
        <v>75</v>
      </c>
    </row>
    <row r="40" spans="1:24" ht="15.75" x14ac:dyDescent="0.25">
      <c r="A40" s="135">
        <v>32</v>
      </c>
      <c r="B40" s="18"/>
      <c r="C40" s="18"/>
      <c r="D40" s="18"/>
      <c r="E40" s="19" t="str">
        <f t="shared" si="14"/>
        <v>15+</v>
      </c>
      <c r="F40" s="18" t="str">
        <f t="shared" si="0"/>
        <v>a: Whole training camp</v>
      </c>
      <c r="G40" s="86"/>
      <c r="H40" s="106" t="str">
        <f t="shared" si="1"/>
        <v>-</v>
      </c>
      <c r="I40" s="136"/>
      <c r="J40" s="86"/>
      <c r="K40" s="85">
        <f t="shared" si="2"/>
        <v>0</v>
      </c>
      <c r="L40" s="85">
        <f t="shared" si="3"/>
        <v>0</v>
      </c>
      <c r="M40" s="85">
        <f t="shared" si="10"/>
        <v>0</v>
      </c>
      <c r="N40" s="86"/>
      <c r="O40" s="138" t="str">
        <f t="shared" si="4"/>
        <v>No</v>
      </c>
      <c r="P40" s="87" t="str">
        <f t="shared" si="11"/>
        <v/>
      </c>
      <c r="Q40" s="85">
        <f t="shared" si="12"/>
        <v>0</v>
      </c>
      <c r="S40" s="86"/>
      <c r="T40" s="87" t="str">
        <f t="shared" si="5"/>
        <v/>
      </c>
      <c r="U40" s="87" t="str">
        <f t="shared" si="13"/>
        <v>Nee</v>
      </c>
      <c r="V40" s="82">
        <f t="shared" si="6"/>
        <v>0</v>
      </c>
      <c r="W40" s="82">
        <f t="shared" si="7"/>
        <v>6</v>
      </c>
      <c r="X40" s="88">
        <f t="shared" si="8"/>
        <v>75</v>
      </c>
    </row>
    <row r="41" spans="1:24" ht="15.75" x14ac:dyDescent="0.25">
      <c r="A41" s="135">
        <v>33</v>
      </c>
      <c r="B41" s="18"/>
      <c r="C41" s="18"/>
      <c r="D41" s="18"/>
      <c r="E41" s="19" t="str">
        <f t="shared" si="14"/>
        <v>15+</v>
      </c>
      <c r="F41" s="18" t="str">
        <f t="shared" ref="F41:F72" si="15">OptieClub</f>
        <v>a: Whole training camp</v>
      </c>
      <c r="G41" s="86"/>
      <c r="H41" s="106" t="str">
        <f t="shared" ref="H41:H72" si="16">IF( U41="Ja", W41, "-")</f>
        <v>-</v>
      </c>
      <c r="I41" s="136"/>
      <c r="J41" s="86"/>
      <c r="K41" s="85">
        <f t="shared" ref="K41:K72" si="17">IF( U41="Ja", X41,0)</f>
        <v>0</v>
      </c>
      <c r="L41" s="85">
        <f t="shared" ref="L41:L72" si="18">IF(I41="Yes", KostenClinic,0)</f>
        <v>0</v>
      </c>
      <c r="M41" s="85">
        <f t="shared" si="10"/>
        <v>0</v>
      </c>
      <c r="N41" s="86"/>
      <c r="O41" s="138" t="str">
        <f t="shared" si="4"/>
        <v>No</v>
      </c>
      <c r="P41" s="87" t="str">
        <f t="shared" si="11"/>
        <v/>
      </c>
      <c r="Q41" s="85">
        <f t="shared" si="12"/>
        <v>0</v>
      </c>
      <c r="S41" s="86"/>
      <c r="T41" s="87" t="str">
        <f t="shared" ref="T41:T72" si="19">IF( ISTEXT(C41), CONCATENATE( UPPER(C41), "; ", B41), "")</f>
        <v/>
      </c>
      <c r="U41" s="87" t="str">
        <f t="shared" si="13"/>
        <v>Nee</v>
      </c>
      <c r="V41" s="82">
        <f t="shared" ref="V41:V72" si="20">VLOOKUP(F41,Opties,2,FALSE)</f>
        <v>0</v>
      </c>
      <c r="W41" s="82">
        <f t="shared" ref="W41:W72" si="21">VLOOKUP(F41,Opties,3,FALSE)</f>
        <v>6</v>
      </c>
      <c r="X41" s="88">
        <f t="shared" ref="X41:X72" si="22" xml:space="preserve"> IF(E41="Coach",0,  VLOOKUP(W41, KostenStage, 2, FALSE))</f>
        <v>75</v>
      </c>
    </row>
    <row r="42" spans="1:24" ht="15.75" x14ac:dyDescent="0.25">
      <c r="A42" s="135">
        <v>34</v>
      </c>
      <c r="B42" s="18"/>
      <c r="C42" s="18"/>
      <c r="D42" s="18"/>
      <c r="E42" s="19" t="str">
        <f t="shared" si="14"/>
        <v>15+</v>
      </c>
      <c r="F42" s="18" t="str">
        <f t="shared" si="15"/>
        <v>a: Whole training camp</v>
      </c>
      <c r="G42" s="86"/>
      <c r="H42" s="106" t="str">
        <f t="shared" si="16"/>
        <v>-</v>
      </c>
      <c r="I42" s="136"/>
      <c r="J42" s="86"/>
      <c r="K42" s="85">
        <f t="shared" si="17"/>
        <v>0</v>
      </c>
      <c r="L42" s="85">
        <f t="shared" si="18"/>
        <v>0</v>
      </c>
      <c r="M42" s="85">
        <f t="shared" si="10"/>
        <v>0</v>
      </c>
      <c r="N42" s="86"/>
      <c r="O42" s="138" t="str">
        <f t="shared" si="4"/>
        <v>No</v>
      </c>
      <c r="P42" s="87" t="str">
        <f t="shared" si="11"/>
        <v/>
      </c>
      <c r="Q42" s="85">
        <f t="shared" ref="Q42:Q73" si="23">IF(O42="Yes",M42,IF(O42="Partly", IF(P42="Yes",M42,0),0))</f>
        <v>0</v>
      </c>
      <c r="S42" s="86"/>
      <c r="T42" s="87" t="str">
        <f t="shared" si="19"/>
        <v/>
      </c>
      <c r="U42" s="87" t="str">
        <f t="shared" si="13"/>
        <v>Nee</v>
      </c>
      <c r="V42" s="82">
        <f t="shared" si="20"/>
        <v>0</v>
      </c>
      <c r="W42" s="82">
        <f t="shared" si="21"/>
        <v>6</v>
      </c>
      <c r="X42" s="88">
        <f t="shared" si="22"/>
        <v>75</v>
      </c>
    </row>
    <row r="43" spans="1:24" ht="15.75" x14ac:dyDescent="0.25">
      <c r="A43" s="135">
        <v>35</v>
      </c>
      <c r="B43" s="18"/>
      <c r="C43" s="18"/>
      <c r="D43" s="18"/>
      <c r="E43" s="19" t="str">
        <f t="shared" si="14"/>
        <v>15+</v>
      </c>
      <c r="F43" s="18" t="str">
        <f t="shared" si="15"/>
        <v>a: Whole training camp</v>
      </c>
      <c r="G43" s="86"/>
      <c r="H43" s="106" t="str">
        <f t="shared" si="16"/>
        <v>-</v>
      </c>
      <c r="I43" s="136"/>
      <c r="J43" s="86"/>
      <c r="K43" s="85">
        <f t="shared" si="17"/>
        <v>0</v>
      </c>
      <c r="L43" s="85">
        <f t="shared" si="18"/>
        <v>0</v>
      </c>
      <c r="M43" s="85">
        <f t="shared" si="10"/>
        <v>0</v>
      </c>
      <c r="N43" s="86"/>
      <c r="O43" s="138" t="str">
        <f t="shared" si="4"/>
        <v>No</v>
      </c>
      <c r="P43" s="87" t="str">
        <f t="shared" si="11"/>
        <v/>
      </c>
      <c r="Q43" s="85">
        <f t="shared" si="23"/>
        <v>0</v>
      </c>
      <c r="S43" s="86"/>
      <c r="T43" s="87" t="str">
        <f t="shared" si="19"/>
        <v/>
      </c>
      <c r="U43" s="87" t="str">
        <f t="shared" si="13"/>
        <v>Nee</v>
      </c>
      <c r="V43" s="82">
        <f t="shared" si="20"/>
        <v>0</v>
      </c>
      <c r="W43" s="82">
        <f t="shared" si="21"/>
        <v>6</v>
      </c>
      <c r="X43" s="88">
        <f t="shared" si="22"/>
        <v>75</v>
      </c>
    </row>
    <row r="44" spans="1:24" ht="15.75" x14ac:dyDescent="0.25">
      <c r="A44" s="135">
        <v>36</v>
      </c>
      <c r="B44" s="18"/>
      <c r="C44" s="18"/>
      <c r="D44" s="18"/>
      <c r="E44" s="19" t="str">
        <f t="shared" si="14"/>
        <v>15+</v>
      </c>
      <c r="F44" s="18" t="str">
        <f t="shared" si="15"/>
        <v>a: Whole training camp</v>
      </c>
      <c r="G44" s="86"/>
      <c r="H44" s="106" t="str">
        <f t="shared" si="16"/>
        <v>-</v>
      </c>
      <c r="I44" s="136"/>
      <c r="J44" s="86"/>
      <c r="K44" s="85">
        <f t="shared" si="17"/>
        <v>0</v>
      </c>
      <c r="L44" s="85">
        <f t="shared" si="18"/>
        <v>0</v>
      </c>
      <c r="M44" s="85">
        <f t="shared" si="10"/>
        <v>0</v>
      </c>
      <c r="N44" s="86"/>
      <c r="O44" s="138" t="str">
        <f t="shared" si="4"/>
        <v>No</v>
      </c>
      <c r="P44" s="87" t="str">
        <f t="shared" si="11"/>
        <v/>
      </c>
      <c r="Q44" s="85">
        <f t="shared" si="23"/>
        <v>0</v>
      </c>
      <c r="S44" s="86"/>
      <c r="T44" s="87" t="str">
        <f t="shared" si="19"/>
        <v/>
      </c>
      <c r="U44" s="87" t="str">
        <f t="shared" si="13"/>
        <v>Nee</v>
      </c>
      <c r="V44" s="82">
        <f t="shared" si="20"/>
        <v>0</v>
      </c>
      <c r="W44" s="82">
        <f t="shared" si="21"/>
        <v>6</v>
      </c>
      <c r="X44" s="88">
        <f t="shared" si="22"/>
        <v>75</v>
      </c>
    </row>
    <row r="45" spans="1:24" ht="15.75" x14ac:dyDescent="0.25">
      <c r="A45" s="135">
        <v>37</v>
      </c>
      <c r="B45" s="18"/>
      <c r="C45" s="18"/>
      <c r="D45" s="18"/>
      <c r="E45" s="19" t="str">
        <f t="shared" si="14"/>
        <v>15+</v>
      </c>
      <c r="F45" s="18" t="str">
        <f t="shared" si="15"/>
        <v>a: Whole training camp</v>
      </c>
      <c r="G45" s="86"/>
      <c r="H45" s="106" t="str">
        <f t="shared" si="16"/>
        <v>-</v>
      </c>
      <c r="I45" s="136"/>
      <c r="J45" s="86"/>
      <c r="K45" s="85">
        <f t="shared" si="17"/>
        <v>0</v>
      </c>
      <c r="L45" s="85">
        <f t="shared" si="18"/>
        <v>0</v>
      </c>
      <c r="M45" s="85">
        <f t="shared" si="10"/>
        <v>0</v>
      </c>
      <c r="N45" s="86"/>
      <c r="O45" s="138" t="str">
        <f t="shared" si="4"/>
        <v>No</v>
      </c>
      <c r="P45" s="87" t="str">
        <f t="shared" si="11"/>
        <v/>
      </c>
      <c r="Q45" s="85">
        <f t="shared" si="23"/>
        <v>0</v>
      </c>
      <c r="S45" s="86"/>
      <c r="T45" s="87" t="str">
        <f t="shared" si="19"/>
        <v/>
      </c>
      <c r="U45" s="87" t="str">
        <f t="shared" si="13"/>
        <v>Nee</v>
      </c>
      <c r="V45" s="82">
        <f t="shared" si="20"/>
        <v>0</v>
      </c>
      <c r="W45" s="82">
        <f t="shared" si="21"/>
        <v>6</v>
      </c>
      <c r="X45" s="88">
        <f t="shared" si="22"/>
        <v>75</v>
      </c>
    </row>
    <row r="46" spans="1:24" ht="15.75" x14ac:dyDescent="0.25">
      <c r="A46" s="135">
        <v>38</v>
      </c>
      <c r="B46" s="18"/>
      <c r="C46" s="18"/>
      <c r="D46" s="18"/>
      <c r="E46" s="19" t="str">
        <f t="shared" si="14"/>
        <v>15+</v>
      </c>
      <c r="F46" s="18" t="str">
        <f t="shared" si="15"/>
        <v>a: Whole training camp</v>
      </c>
      <c r="G46" s="86"/>
      <c r="H46" s="106" t="str">
        <f t="shared" si="16"/>
        <v>-</v>
      </c>
      <c r="I46" s="136"/>
      <c r="J46" s="86"/>
      <c r="K46" s="85">
        <f t="shared" si="17"/>
        <v>0</v>
      </c>
      <c r="L46" s="85">
        <f t="shared" si="18"/>
        <v>0</v>
      </c>
      <c r="M46" s="85">
        <f t="shared" si="10"/>
        <v>0</v>
      </c>
      <c r="N46" s="86"/>
      <c r="O46" s="138" t="str">
        <f t="shared" si="4"/>
        <v>No</v>
      </c>
      <c r="P46" s="87" t="str">
        <f t="shared" si="11"/>
        <v/>
      </c>
      <c r="Q46" s="85">
        <f t="shared" si="23"/>
        <v>0</v>
      </c>
      <c r="S46" s="86"/>
      <c r="T46" s="87" t="str">
        <f t="shared" si="19"/>
        <v/>
      </c>
      <c r="U46" s="87" t="str">
        <f t="shared" si="13"/>
        <v>Nee</v>
      </c>
      <c r="V46" s="82">
        <f t="shared" si="20"/>
        <v>0</v>
      </c>
      <c r="W46" s="82">
        <f t="shared" si="21"/>
        <v>6</v>
      </c>
      <c r="X46" s="88">
        <f t="shared" si="22"/>
        <v>75</v>
      </c>
    </row>
    <row r="47" spans="1:24" ht="15.75" x14ac:dyDescent="0.25">
      <c r="A47" s="135">
        <v>39</v>
      </c>
      <c r="B47" s="18"/>
      <c r="C47" s="18"/>
      <c r="D47" s="18"/>
      <c r="E47" s="19" t="str">
        <f t="shared" si="14"/>
        <v>15+</v>
      </c>
      <c r="F47" s="18" t="str">
        <f t="shared" si="15"/>
        <v>a: Whole training camp</v>
      </c>
      <c r="G47" s="86"/>
      <c r="H47" s="106" t="str">
        <f t="shared" si="16"/>
        <v>-</v>
      </c>
      <c r="I47" s="136"/>
      <c r="J47" s="86"/>
      <c r="K47" s="85">
        <f t="shared" si="17"/>
        <v>0</v>
      </c>
      <c r="L47" s="85">
        <f t="shared" si="18"/>
        <v>0</v>
      </c>
      <c r="M47" s="85">
        <f t="shared" si="10"/>
        <v>0</v>
      </c>
      <c r="N47" s="86"/>
      <c r="O47" s="138" t="str">
        <f t="shared" si="4"/>
        <v>No</v>
      </c>
      <c r="P47" s="87" t="str">
        <f t="shared" si="11"/>
        <v/>
      </c>
      <c r="Q47" s="85">
        <f t="shared" si="23"/>
        <v>0</v>
      </c>
      <c r="S47" s="86"/>
      <c r="T47" s="87" t="str">
        <f t="shared" si="19"/>
        <v/>
      </c>
      <c r="U47" s="87" t="str">
        <f t="shared" si="13"/>
        <v>Nee</v>
      </c>
      <c r="V47" s="82">
        <f t="shared" si="20"/>
        <v>0</v>
      </c>
      <c r="W47" s="82">
        <f t="shared" si="21"/>
        <v>6</v>
      </c>
      <c r="X47" s="88">
        <f t="shared" si="22"/>
        <v>75</v>
      </c>
    </row>
    <row r="48" spans="1:24" ht="15.75" x14ac:dyDescent="0.25">
      <c r="A48" s="135">
        <v>40</v>
      </c>
      <c r="B48" s="18"/>
      <c r="C48" s="18"/>
      <c r="D48" s="18"/>
      <c r="E48" s="19" t="str">
        <f t="shared" si="14"/>
        <v>15+</v>
      </c>
      <c r="F48" s="18" t="str">
        <f t="shared" si="15"/>
        <v>a: Whole training camp</v>
      </c>
      <c r="G48" s="86"/>
      <c r="H48" s="106" t="str">
        <f t="shared" si="16"/>
        <v>-</v>
      </c>
      <c r="I48" s="136"/>
      <c r="J48" s="86"/>
      <c r="K48" s="85">
        <f t="shared" si="17"/>
        <v>0</v>
      </c>
      <c r="L48" s="85">
        <f t="shared" si="18"/>
        <v>0</v>
      </c>
      <c r="M48" s="85">
        <f t="shared" si="10"/>
        <v>0</v>
      </c>
      <c r="N48" s="86"/>
      <c r="O48" s="138" t="str">
        <f t="shared" si="4"/>
        <v>No</v>
      </c>
      <c r="P48" s="87" t="str">
        <f t="shared" si="11"/>
        <v/>
      </c>
      <c r="Q48" s="85">
        <f t="shared" si="23"/>
        <v>0</v>
      </c>
      <c r="S48" s="86"/>
      <c r="T48" s="87" t="str">
        <f t="shared" si="19"/>
        <v/>
      </c>
      <c r="U48" s="87" t="str">
        <f t="shared" si="13"/>
        <v>Nee</v>
      </c>
      <c r="V48" s="82">
        <f t="shared" si="20"/>
        <v>0</v>
      </c>
      <c r="W48" s="82">
        <f t="shared" si="21"/>
        <v>6</v>
      </c>
      <c r="X48" s="88">
        <f t="shared" si="22"/>
        <v>75</v>
      </c>
    </row>
    <row r="49" spans="1:24" ht="15.75" x14ac:dyDescent="0.25">
      <c r="A49" s="135">
        <v>41</v>
      </c>
      <c r="B49" s="18"/>
      <c r="C49" s="18"/>
      <c r="D49" s="18"/>
      <c r="E49" s="19" t="str">
        <f t="shared" si="14"/>
        <v>15+</v>
      </c>
      <c r="F49" s="18" t="str">
        <f t="shared" si="15"/>
        <v>a: Whole training camp</v>
      </c>
      <c r="G49" s="86"/>
      <c r="H49" s="106" t="str">
        <f t="shared" si="16"/>
        <v>-</v>
      </c>
      <c r="I49" s="136"/>
      <c r="J49" s="86"/>
      <c r="K49" s="85">
        <f t="shared" si="17"/>
        <v>0</v>
      </c>
      <c r="L49" s="85">
        <f t="shared" si="18"/>
        <v>0</v>
      </c>
      <c r="M49" s="85">
        <f t="shared" si="10"/>
        <v>0</v>
      </c>
      <c r="N49" s="86"/>
      <c r="O49" s="138" t="str">
        <f t="shared" si="4"/>
        <v>No</v>
      </c>
      <c r="P49" s="87" t="str">
        <f t="shared" si="11"/>
        <v/>
      </c>
      <c r="Q49" s="85">
        <f t="shared" si="23"/>
        <v>0</v>
      </c>
      <c r="S49" s="86"/>
      <c r="T49" s="87" t="str">
        <f t="shared" si="19"/>
        <v/>
      </c>
      <c r="U49" s="87" t="str">
        <f t="shared" si="13"/>
        <v>Nee</v>
      </c>
      <c r="V49" s="82">
        <f t="shared" si="20"/>
        <v>0</v>
      </c>
      <c r="W49" s="82">
        <f t="shared" si="21"/>
        <v>6</v>
      </c>
      <c r="X49" s="88">
        <f t="shared" si="22"/>
        <v>75</v>
      </c>
    </row>
    <row r="50" spans="1:24" ht="15.75" x14ac:dyDescent="0.25">
      <c r="A50" s="135">
        <v>42</v>
      </c>
      <c r="B50" s="18"/>
      <c r="C50" s="18"/>
      <c r="D50" s="18"/>
      <c r="E50" s="19" t="str">
        <f t="shared" si="14"/>
        <v>15+</v>
      </c>
      <c r="F50" s="18" t="str">
        <f t="shared" si="15"/>
        <v>a: Whole training camp</v>
      </c>
      <c r="G50" s="86"/>
      <c r="H50" s="106" t="str">
        <f t="shared" si="16"/>
        <v>-</v>
      </c>
      <c r="I50" s="136"/>
      <c r="J50" s="86"/>
      <c r="K50" s="85">
        <f t="shared" si="17"/>
        <v>0</v>
      </c>
      <c r="L50" s="85">
        <f t="shared" si="18"/>
        <v>0</v>
      </c>
      <c r="M50" s="85">
        <f t="shared" si="10"/>
        <v>0</v>
      </c>
      <c r="N50" s="86"/>
      <c r="O50" s="138" t="str">
        <f t="shared" si="4"/>
        <v>No</v>
      </c>
      <c r="P50" s="87" t="str">
        <f t="shared" si="11"/>
        <v/>
      </c>
      <c r="Q50" s="85">
        <f t="shared" si="23"/>
        <v>0</v>
      </c>
      <c r="S50" s="86"/>
      <c r="T50" s="87" t="str">
        <f t="shared" si="19"/>
        <v/>
      </c>
      <c r="U50" s="87" t="str">
        <f t="shared" si="13"/>
        <v>Nee</v>
      </c>
      <c r="V50" s="82">
        <f t="shared" si="20"/>
        <v>0</v>
      </c>
      <c r="W50" s="82">
        <f t="shared" si="21"/>
        <v>6</v>
      </c>
      <c r="X50" s="88">
        <f t="shared" si="22"/>
        <v>75</v>
      </c>
    </row>
    <row r="51" spans="1:24" ht="15.75" x14ac:dyDescent="0.25">
      <c r="A51" s="135">
        <v>43</v>
      </c>
      <c r="B51" s="18"/>
      <c r="C51" s="18"/>
      <c r="D51" s="18"/>
      <c r="E51" s="19" t="str">
        <f t="shared" si="14"/>
        <v>15+</v>
      </c>
      <c r="F51" s="18" t="str">
        <f t="shared" si="15"/>
        <v>a: Whole training camp</v>
      </c>
      <c r="G51" s="86"/>
      <c r="H51" s="106" t="str">
        <f t="shared" si="16"/>
        <v>-</v>
      </c>
      <c r="I51" s="136"/>
      <c r="J51" s="86"/>
      <c r="K51" s="85">
        <f t="shared" si="17"/>
        <v>0</v>
      </c>
      <c r="L51" s="85">
        <f t="shared" si="18"/>
        <v>0</v>
      </c>
      <c r="M51" s="85">
        <f t="shared" si="10"/>
        <v>0</v>
      </c>
      <c r="N51" s="86"/>
      <c r="O51" s="138" t="str">
        <f t="shared" si="4"/>
        <v>No</v>
      </c>
      <c r="P51" s="87" t="str">
        <f t="shared" si="11"/>
        <v/>
      </c>
      <c r="Q51" s="85">
        <f t="shared" si="23"/>
        <v>0</v>
      </c>
      <c r="S51" s="86"/>
      <c r="T51" s="87" t="str">
        <f t="shared" si="19"/>
        <v/>
      </c>
      <c r="U51" s="87" t="str">
        <f t="shared" si="13"/>
        <v>Nee</v>
      </c>
      <c r="V51" s="82">
        <f t="shared" si="20"/>
        <v>0</v>
      </c>
      <c r="W51" s="82">
        <f t="shared" si="21"/>
        <v>6</v>
      </c>
      <c r="X51" s="88">
        <f t="shared" si="22"/>
        <v>75</v>
      </c>
    </row>
    <row r="52" spans="1:24" ht="15.75" x14ac:dyDescent="0.25">
      <c r="A52" s="135">
        <v>44</v>
      </c>
      <c r="B52" s="18"/>
      <c r="C52" s="18"/>
      <c r="D52" s="18"/>
      <c r="E52" s="19" t="str">
        <f t="shared" si="14"/>
        <v>15+</v>
      </c>
      <c r="F52" s="18" t="str">
        <f t="shared" si="15"/>
        <v>a: Whole training camp</v>
      </c>
      <c r="G52" s="86"/>
      <c r="H52" s="106" t="str">
        <f t="shared" si="16"/>
        <v>-</v>
      </c>
      <c r="I52" s="136"/>
      <c r="J52" s="86"/>
      <c r="K52" s="85">
        <f t="shared" si="17"/>
        <v>0</v>
      </c>
      <c r="L52" s="85">
        <f t="shared" si="18"/>
        <v>0</v>
      </c>
      <c r="M52" s="85">
        <f t="shared" si="10"/>
        <v>0</v>
      </c>
      <c r="N52" s="86"/>
      <c r="O52" s="138" t="str">
        <f t="shared" si="4"/>
        <v>No</v>
      </c>
      <c r="P52" s="87" t="str">
        <f t="shared" si="11"/>
        <v/>
      </c>
      <c r="Q52" s="85">
        <f t="shared" si="23"/>
        <v>0</v>
      </c>
      <c r="S52" s="86"/>
      <c r="T52" s="87" t="str">
        <f t="shared" si="19"/>
        <v/>
      </c>
      <c r="U52" s="87" t="str">
        <f t="shared" si="13"/>
        <v>Nee</v>
      </c>
      <c r="V52" s="82">
        <f t="shared" si="20"/>
        <v>0</v>
      </c>
      <c r="W52" s="82">
        <f t="shared" si="21"/>
        <v>6</v>
      </c>
      <c r="X52" s="88">
        <f t="shared" si="22"/>
        <v>75</v>
      </c>
    </row>
    <row r="53" spans="1:24" ht="15.75" x14ac:dyDescent="0.25">
      <c r="A53" s="135">
        <v>45</v>
      </c>
      <c r="B53" s="18"/>
      <c r="C53" s="18"/>
      <c r="D53" s="18"/>
      <c r="E53" s="19" t="str">
        <f t="shared" si="14"/>
        <v>15+</v>
      </c>
      <c r="F53" s="18" t="str">
        <f t="shared" si="15"/>
        <v>a: Whole training camp</v>
      </c>
      <c r="G53" s="86"/>
      <c r="H53" s="106" t="str">
        <f t="shared" si="16"/>
        <v>-</v>
      </c>
      <c r="I53" s="136"/>
      <c r="J53" s="86"/>
      <c r="K53" s="85">
        <f t="shared" si="17"/>
        <v>0</v>
      </c>
      <c r="L53" s="85">
        <f t="shared" si="18"/>
        <v>0</v>
      </c>
      <c r="M53" s="85">
        <f t="shared" si="10"/>
        <v>0</v>
      </c>
      <c r="N53" s="86"/>
      <c r="O53" s="138" t="str">
        <f t="shared" si="4"/>
        <v>No</v>
      </c>
      <c r="P53" s="87" t="str">
        <f t="shared" si="11"/>
        <v/>
      </c>
      <c r="Q53" s="85">
        <f t="shared" si="23"/>
        <v>0</v>
      </c>
      <c r="S53" s="86"/>
      <c r="T53" s="87" t="str">
        <f t="shared" si="19"/>
        <v/>
      </c>
      <c r="U53" s="87" t="str">
        <f t="shared" si="13"/>
        <v>Nee</v>
      </c>
      <c r="V53" s="82">
        <f t="shared" si="20"/>
        <v>0</v>
      </c>
      <c r="W53" s="82">
        <f t="shared" si="21"/>
        <v>6</v>
      </c>
      <c r="X53" s="88">
        <f t="shared" si="22"/>
        <v>75</v>
      </c>
    </row>
    <row r="54" spans="1:24" ht="15.75" x14ac:dyDescent="0.25">
      <c r="A54" s="135">
        <v>46</v>
      </c>
      <c r="B54" s="18"/>
      <c r="C54" s="18"/>
      <c r="D54" s="18"/>
      <c r="E54" s="19" t="str">
        <f t="shared" si="14"/>
        <v>15+</v>
      </c>
      <c r="F54" s="18" t="str">
        <f t="shared" si="15"/>
        <v>a: Whole training camp</v>
      </c>
      <c r="G54" s="86"/>
      <c r="H54" s="106" t="str">
        <f t="shared" si="16"/>
        <v>-</v>
      </c>
      <c r="I54" s="136"/>
      <c r="J54" s="86"/>
      <c r="K54" s="85">
        <f t="shared" si="17"/>
        <v>0</v>
      </c>
      <c r="L54" s="85">
        <f t="shared" si="18"/>
        <v>0</v>
      </c>
      <c r="M54" s="85">
        <f t="shared" si="10"/>
        <v>0</v>
      </c>
      <c r="N54" s="86"/>
      <c r="O54" s="138" t="str">
        <f t="shared" si="4"/>
        <v>No</v>
      </c>
      <c r="P54" s="87" t="str">
        <f t="shared" si="11"/>
        <v/>
      </c>
      <c r="Q54" s="85">
        <f t="shared" si="23"/>
        <v>0</v>
      </c>
      <c r="S54" s="86"/>
      <c r="T54" s="87" t="str">
        <f t="shared" si="19"/>
        <v/>
      </c>
      <c r="U54" s="87" t="str">
        <f t="shared" si="13"/>
        <v>Nee</v>
      </c>
      <c r="V54" s="82">
        <f t="shared" si="20"/>
        <v>0</v>
      </c>
      <c r="W54" s="82">
        <f t="shared" si="21"/>
        <v>6</v>
      </c>
      <c r="X54" s="88">
        <f t="shared" si="22"/>
        <v>75</v>
      </c>
    </row>
    <row r="55" spans="1:24" ht="15.75" x14ac:dyDescent="0.25">
      <c r="A55" s="135">
        <v>47</v>
      </c>
      <c r="B55" s="18"/>
      <c r="C55" s="18"/>
      <c r="D55" s="18"/>
      <c r="E55" s="19" t="str">
        <f t="shared" si="14"/>
        <v>15+</v>
      </c>
      <c r="F55" s="18" t="str">
        <f t="shared" si="15"/>
        <v>a: Whole training camp</v>
      </c>
      <c r="G55" s="86"/>
      <c r="H55" s="106" t="str">
        <f t="shared" si="16"/>
        <v>-</v>
      </c>
      <c r="I55" s="136"/>
      <c r="J55" s="86"/>
      <c r="K55" s="85">
        <f t="shared" si="17"/>
        <v>0</v>
      </c>
      <c r="L55" s="85">
        <f t="shared" si="18"/>
        <v>0</v>
      </c>
      <c r="M55" s="85">
        <f t="shared" si="10"/>
        <v>0</v>
      </c>
      <c r="N55" s="86"/>
      <c r="O55" s="138" t="str">
        <f t="shared" si="4"/>
        <v>No</v>
      </c>
      <c r="P55" s="87" t="str">
        <f t="shared" si="11"/>
        <v/>
      </c>
      <c r="Q55" s="85">
        <f t="shared" si="23"/>
        <v>0</v>
      </c>
      <c r="S55" s="86"/>
      <c r="T55" s="87" t="str">
        <f t="shared" si="19"/>
        <v/>
      </c>
      <c r="U55" s="87" t="str">
        <f t="shared" si="13"/>
        <v>Nee</v>
      </c>
      <c r="V55" s="82">
        <f t="shared" si="20"/>
        <v>0</v>
      </c>
      <c r="W55" s="82">
        <f t="shared" si="21"/>
        <v>6</v>
      </c>
      <c r="X55" s="88">
        <f t="shared" si="22"/>
        <v>75</v>
      </c>
    </row>
    <row r="56" spans="1:24" ht="15.75" x14ac:dyDescent="0.25">
      <c r="A56" s="135">
        <v>48</v>
      </c>
      <c r="B56" s="18"/>
      <c r="C56" s="18"/>
      <c r="D56" s="18"/>
      <c r="E56" s="19" t="str">
        <f t="shared" si="14"/>
        <v>15+</v>
      </c>
      <c r="F56" s="18" t="str">
        <f t="shared" si="15"/>
        <v>a: Whole training camp</v>
      </c>
      <c r="G56" s="86"/>
      <c r="H56" s="106" t="str">
        <f t="shared" si="16"/>
        <v>-</v>
      </c>
      <c r="I56" s="136"/>
      <c r="J56" s="86"/>
      <c r="K56" s="85">
        <f t="shared" si="17"/>
        <v>0</v>
      </c>
      <c r="L56" s="85">
        <f t="shared" si="18"/>
        <v>0</v>
      </c>
      <c r="M56" s="85">
        <f t="shared" si="10"/>
        <v>0</v>
      </c>
      <c r="N56" s="86"/>
      <c r="O56" s="138" t="str">
        <f t="shared" si="4"/>
        <v>No</v>
      </c>
      <c r="P56" s="87" t="str">
        <f t="shared" si="11"/>
        <v/>
      </c>
      <c r="Q56" s="85">
        <f t="shared" si="23"/>
        <v>0</v>
      </c>
      <c r="S56" s="86"/>
      <c r="T56" s="87" t="str">
        <f t="shared" si="19"/>
        <v/>
      </c>
      <c r="U56" s="87" t="str">
        <f t="shared" si="13"/>
        <v>Nee</v>
      </c>
      <c r="V56" s="82">
        <f t="shared" si="20"/>
        <v>0</v>
      </c>
      <c r="W56" s="82">
        <f t="shared" si="21"/>
        <v>6</v>
      </c>
      <c r="X56" s="88">
        <f t="shared" si="22"/>
        <v>75</v>
      </c>
    </row>
    <row r="57" spans="1:24" ht="15.75" x14ac:dyDescent="0.25">
      <c r="A57" s="135">
        <v>49</v>
      </c>
      <c r="B57" s="18"/>
      <c r="C57" s="18"/>
      <c r="D57" s="18"/>
      <c r="E57" s="19" t="str">
        <f t="shared" si="14"/>
        <v>15+</v>
      </c>
      <c r="F57" s="18" t="str">
        <f t="shared" si="15"/>
        <v>a: Whole training camp</v>
      </c>
      <c r="G57" s="86"/>
      <c r="H57" s="106" t="str">
        <f t="shared" si="16"/>
        <v>-</v>
      </c>
      <c r="I57" s="136"/>
      <c r="J57" s="86"/>
      <c r="K57" s="85">
        <f t="shared" si="17"/>
        <v>0</v>
      </c>
      <c r="L57" s="85">
        <f t="shared" si="18"/>
        <v>0</v>
      </c>
      <c r="M57" s="85">
        <f t="shared" si="10"/>
        <v>0</v>
      </c>
      <c r="N57" s="86"/>
      <c r="O57" s="138" t="str">
        <f t="shared" si="4"/>
        <v>No</v>
      </c>
      <c r="P57" s="87" t="str">
        <f t="shared" si="11"/>
        <v/>
      </c>
      <c r="Q57" s="85">
        <f t="shared" si="23"/>
        <v>0</v>
      </c>
      <c r="S57" s="86"/>
      <c r="T57" s="87" t="str">
        <f t="shared" si="19"/>
        <v/>
      </c>
      <c r="U57" s="87" t="str">
        <f t="shared" si="13"/>
        <v>Nee</v>
      </c>
      <c r="V57" s="82">
        <f t="shared" si="20"/>
        <v>0</v>
      </c>
      <c r="W57" s="82">
        <f t="shared" si="21"/>
        <v>6</v>
      </c>
      <c r="X57" s="88">
        <f t="shared" si="22"/>
        <v>75</v>
      </c>
    </row>
    <row r="58" spans="1:24" ht="15.75" x14ac:dyDescent="0.25">
      <c r="A58" s="135">
        <v>50</v>
      </c>
      <c r="B58" s="18"/>
      <c r="C58" s="18"/>
      <c r="D58" s="18"/>
      <c r="E58" s="19" t="str">
        <f t="shared" si="14"/>
        <v>15+</v>
      </c>
      <c r="F58" s="18" t="str">
        <f t="shared" si="15"/>
        <v>a: Whole training camp</v>
      </c>
      <c r="G58" s="86"/>
      <c r="H58" s="106" t="str">
        <f t="shared" si="16"/>
        <v>-</v>
      </c>
      <c r="I58" s="136"/>
      <c r="J58" s="86"/>
      <c r="K58" s="85">
        <f t="shared" si="17"/>
        <v>0</v>
      </c>
      <c r="L58" s="85">
        <f t="shared" si="18"/>
        <v>0</v>
      </c>
      <c r="M58" s="85">
        <f t="shared" si="10"/>
        <v>0</v>
      </c>
      <c r="N58" s="86"/>
      <c r="O58" s="138" t="str">
        <f t="shared" si="4"/>
        <v>No</v>
      </c>
      <c r="P58" s="87" t="str">
        <f t="shared" si="11"/>
        <v/>
      </c>
      <c r="Q58" s="85">
        <f t="shared" si="23"/>
        <v>0</v>
      </c>
      <c r="S58" s="86"/>
      <c r="T58" s="87" t="str">
        <f t="shared" si="19"/>
        <v/>
      </c>
      <c r="U58" s="87" t="str">
        <f t="shared" si="13"/>
        <v>Nee</v>
      </c>
      <c r="V58" s="82">
        <f t="shared" si="20"/>
        <v>0</v>
      </c>
      <c r="W58" s="82">
        <f t="shared" si="21"/>
        <v>6</v>
      </c>
      <c r="X58" s="88">
        <f t="shared" si="22"/>
        <v>75</v>
      </c>
    </row>
    <row r="59" spans="1:24" ht="15.75" x14ac:dyDescent="0.25">
      <c r="A59" s="135">
        <v>51</v>
      </c>
      <c r="B59" s="18"/>
      <c r="C59" s="18"/>
      <c r="D59" s="18"/>
      <c r="E59" s="19" t="str">
        <f t="shared" si="14"/>
        <v>15+</v>
      </c>
      <c r="F59" s="18" t="str">
        <f t="shared" si="15"/>
        <v>a: Whole training camp</v>
      </c>
      <c r="G59" s="86"/>
      <c r="H59" s="106" t="str">
        <f t="shared" si="16"/>
        <v>-</v>
      </c>
      <c r="I59" s="136"/>
      <c r="J59" s="86"/>
      <c r="K59" s="85">
        <f t="shared" si="17"/>
        <v>0</v>
      </c>
      <c r="L59" s="85">
        <f t="shared" si="18"/>
        <v>0</v>
      </c>
      <c r="M59" s="85">
        <f t="shared" si="10"/>
        <v>0</v>
      </c>
      <c r="N59" s="86"/>
      <c r="O59" s="138" t="str">
        <f t="shared" si="4"/>
        <v>No</v>
      </c>
      <c r="P59" s="87" t="str">
        <f t="shared" si="11"/>
        <v/>
      </c>
      <c r="Q59" s="85">
        <f t="shared" si="23"/>
        <v>0</v>
      </c>
      <c r="S59" s="86"/>
      <c r="T59" s="87" t="str">
        <f t="shared" si="19"/>
        <v/>
      </c>
      <c r="U59" s="87" t="str">
        <f t="shared" si="13"/>
        <v>Nee</v>
      </c>
      <c r="V59" s="82">
        <f t="shared" si="20"/>
        <v>0</v>
      </c>
      <c r="W59" s="82">
        <f t="shared" si="21"/>
        <v>6</v>
      </c>
      <c r="X59" s="88">
        <f t="shared" si="22"/>
        <v>75</v>
      </c>
    </row>
    <row r="60" spans="1:24" ht="15.75" x14ac:dyDescent="0.25">
      <c r="A60" s="135">
        <v>52</v>
      </c>
      <c r="B60" s="18"/>
      <c r="C60" s="18"/>
      <c r="D60" s="18"/>
      <c r="E60" s="19" t="str">
        <f t="shared" si="14"/>
        <v>15+</v>
      </c>
      <c r="F60" s="18" t="str">
        <f t="shared" si="15"/>
        <v>a: Whole training camp</v>
      </c>
      <c r="G60" s="86"/>
      <c r="H60" s="106" t="str">
        <f t="shared" si="16"/>
        <v>-</v>
      </c>
      <c r="I60" s="136"/>
      <c r="J60" s="86"/>
      <c r="K60" s="85">
        <f t="shared" si="17"/>
        <v>0</v>
      </c>
      <c r="L60" s="85">
        <f t="shared" si="18"/>
        <v>0</v>
      </c>
      <c r="M60" s="85">
        <f t="shared" si="10"/>
        <v>0</v>
      </c>
      <c r="N60" s="86"/>
      <c r="O60" s="138" t="str">
        <f t="shared" si="4"/>
        <v>No</v>
      </c>
      <c r="P60" s="87" t="str">
        <f t="shared" si="11"/>
        <v/>
      </c>
      <c r="Q60" s="85">
        <f t="shared" si="23"/>
        <v>0</v>
      </c>
      <c r="S60" s="86"/>
      <c r="T60" s="87" t="str">
        <f t="shared" si="19"/>
        <v/>
      </c>
      <c r="U60" s="87" t="str">
        <f t="shared" si="13"/>
        <v>Nee</v>
      </c>
      <c r="V60" s="82">
        <f t="shared" si="20"/>
        <v>0</v>
      </c>
      <c r="W60" s="82">
        <f t="shared" si="21"/>
        <v>6</v>
      </c>
      <c r="X60" s="88">
        <f t="shared" si="22"/>
        <v>75</v>
      </c>
    </row>
    <row r="61" spans="1:24" ht="15.75" x14ac:dyDescent="0.25">
      <c r="A61" s="135">
        <v>53</v>
      </c>
      <c r="B61" s="18"/>
      <c r="C61" s="18"/>
      <c r="D61" s="18"/>
      <c r="E61" s="19" t="str">
        <f t="shared" si="14"/>
        <v>15+</v>
      </c>
      <c r="F61" s="18" t="str">
        <f t="shared" si="15"/>
        <v>a: Whole training camp</v>
      </c>
      <c r="G61" s="86"/>
      <c r="H61" s="106" t="str">
        <f t="shared" si="16"/>
        <v>-</v>
      </c>
      <c r="I61" s="136"/>
      <c r="J61" s="86"/>
      <c r="K61" s="85">
        <f t="shared" si="17"/>
        <v>0</v>
      </c>
      <c r="L61" s="85">
        <f t="shared" si="18"/>
        <v>0</v>
      </c>
      <c r="M61" s="85">
        <f t="shared" si="10"/>
        <v>0</v>
      </c>
      <c r="N61" s="86"/>
      <c r="O61" s="138" t="str">
        <f t="shared" si="4"/>
        <v>No</v>
      </c>
      <c r="P61" s="87" t="str">
        <f t="shared" si="11"/>
        <v/>
      </c>
      <c r="Q61" s="85">
        <f t="shared" si="23"/>
        <v>0</v>
      </c>
      <c r="S61" s="86"/>
      <c r="T61" s="87" t="str">
        <f t="shared" si="19"/>
        <v/>
      </c>
      <c r="U61" s="87" t="str">
        <f t="shared" si="13"/>
        <v>Nee</v>
      </c>
      <c r="V61" s="82">
        <f t="shared" si="20"/>
        <v>0</v>
      </c>
      <c r="W61" s="82">
        <f t="shared" si="21"/>
        <v>6</v>
      </c>
      <c r="X61" s="88">
        <f t="shared" si="22"/>
        <v>75</v>
      </c>
    </row>
    <row r="62" spans="1:24" ht="15.75" x14ac:dyDescent="0.25">
      <c r="A62" s="135">
        <v>54</v>
      </c>
      <c r="B62" s="18"/>
      <c r="C62" s="18"/>
      <c r="D62" s="18"/>
      <c r="E62" s="19" t="str">
        <f t="shared" si="14"/>
        <v>15+</v>
      </c>
      <c r="F62" s="18" t="str">
        <f t="shared" si="15"/>
        <v>a: Whole training camp</v>
      </c>
      <c r="G62" s="86"/>
      <c r="H62" s="106" t="str">
        <f t="shared" si="16"/>
        <v>-</v>
      </c>
      <c r="I62" s="136"/>
      <c r="J62" s="86"/>
      <c r="K62" s="85">
        <f t="shared" si="17"/>
        <v>0</v>
      </c>
      <c r="L62" s="85">
        <f t="shared" si="18"/>
        <v>0</v>
      </c>
      <c r="M62" s="85">
        <f t="shared" si="10"/>
        <v>0</v>
      </c>
      <c r="N62" s="86"/>
      <c r="O62" s="138" t="str">
        <f t="shared" si="4"/>
        <v>No</v>
      </c>
      <c r="P62" s="87" t="str">
        <f t="shared" si="11"/>
        <v/>
      </c>
      <c r="Q62" s="85">
        <f t="shared" si="23"/>
        <v>0</v>
      </c>
      <c r="S62" s="86"/>
      <c r="T62" s="87" t="str">
        <f t="shared" si="19"/>
        <v/>
      </c>
      <c r="U62" s="87" t="str">
        <f t="shared" si="13"/>
        <v>Nee</v>
      </c>
      <c r="V62" s="82">
        <f t="shared" si="20"/>
        <v>0</v>
      </c>
      <c r="W62" s="82">
        <f t="shared" si="21"/>
        <v>6</v>
      </c>
      <c r="X62" s="88">
        <f t="shared" si="22"/>
        <v>75</v>
      </c>
    </row>
    <row r="63" spans="1:24" ht="15.75" x14ac:dyDescent="0.25">
      <c r="A63" s="135">
        <v>55</v>
      </c>
      <c r="B63" s="18"/>
      <c r="C63" s="18"/>
      <c r="D63" s="18"/>
      <c r="E63" s="19" t="str">
        <f t="shared" si="14"/>
        <v>15+</v>
      </c>
      <c r="F63" s="18" t="str">
        <f t="shared" si="15"/>
        <v>a: Whole training camp</v>
      </c>
      <c r="G63" s="86"/>
      <c r="H63" s="106" t="str">
        <f t="shared" si="16"/>
        <v>-</v>
      </c>
      <c r="I63" s="136"/>
      <c r="J63" s="86"/>
      <c r="K63" s="85">
        <f t="shared" si="17"/>
        <v>0</v>
      </c>
      <c r="L63" s="85">
        <f t="shared" si="18"/>
        <v>0</v>
      </c>
      <c r="M63" s="85">
        <f t="shared" si="10"/>
        <v>0</v>
      </c>
      <c r="N63" s="86"/>
      <c r="O63" s="138" t="str">
        <f t="shared" si="4"/>
        <v>No</v>
      </c>
      <c r="P63" s="87" t="str">
        <f t="shared" si="11"/>
        <v/>
      </c>
      <c r="Q63" s="85">
        <f t="shared" si="23"/>
        <v>0</v>
      </c>
      <c r="S63" s="86"/>
      <c r="T63" s="87" t="str">
        <f t="shared" si="19"/>
        <v/>
      </c>
      <c r="U63" s="87" t="str">
        <f t="shared" si="13"/>
        <v>Nee</v>
      </c>
      <c r="V63" s="82">
        <f t="shared" si="20"/>
        <v>0</v>
      </c>
      <c r="W63" s="82">
        <f t="shared" si="21"/>
        <v>6</v>
      </c>
      <c r="X63" s="88">
        <f t="shared" si="22"/>
        <v>75</v>
      </c>
    </row>
    <row r="64" spans="1:24" ht="15.75" x14ac:dyDescent="0.25">
      <c r="A64" s="135">
        <v>56</v>
      </c>
      <c r="B64" s="18"/>
      <c r="C64" s="18"/>
      <c r="D64" s="18"/>
      <c r="E64" s="19" t="str">
        <f t="shared" si="14"/>
        <v>15+</v>
      </c>
      <c r="F64" s="18" t="str">
        <f t="shared" si="15"/>
        <v>a: Whole training camp</v>
      </c>
      <c r="G64" s="86"/>
      <c r="H64" s="106" t="str">
        <f t="shared" si="16"/>
        <v>-</v>
      </c>
      <c r="I64" s="136"/>
      <c r="J64" s="86"/>
      <c r="K64" s="85">
        <f t="shared" si="17"/>
        <v>0</v>
      </c>
      <c r="L64" s="85">
        <f t="shared" si="18"/>
        <v>0</v>
      </c>
      <c r="M64" s="85">
        <f t="shared" si="10"/>
        <v>0</v>
      </c>
      <c r="N64" s="86"/>
      <c r="O64" s="138" t="str">
        <f t="shared" si="4"/>
        <v>No</v>
      </c>
      <c r="P64" s="87" t="str">
        <f t="shared" si="11"/>
        <v/>
      </c>
      <c r="Q64" s="85">
        <f t="shared" si="23"/>
        <v>0</v>
      </c>
      <c r="S64" s="86"/>
      <c r="T64" s="87" t="str">
        <f t="shared" si="19"/>
        <v/>
      </c>
      <c r="U64" s="87" t="str">
        <f t="shared" si="13"/>
        <v>Nee</v>
      </c>
      <c r="V64" s="82">
        <f t="shared" si="20"/>
        <v>0</v>
      </c>
      <c r="W64" s="82">
        <f t="shared" si="21"/>
        <v>6</v>
      </c>
      <c r="X64" s="88">
        <f t="shared" si="22"/>
        <v>75</v>
      </c>
    </row>
    <row r="65" spans="1:24" ht="15.75" x14ac:dyDescent="0.25">
      <c r="A65" s="135">
        <v>57</v>
      </c>
      <c r="B65" s="18"/>
      <c r="C65" s="18"/>
      <c r="D65" s="18"/>
      <c r="E65" s="19" t="str">
        <f t="shared" si="14"/>
        <v>15+</v>
      </c>
      <c r="F65" s="18" t="str">
        <f t="shared" si="15"/>
        <v>a: Whole training camp</v>
      </c>
      <c r="G65" s="86"/>
      <c r="H65" s="106" t="str">
        <f t="shared" si="16"/>
        <v>-</v>
      </c>
      <c r="I65" s="136"/>
      <c r="J65" s="86"/>
      <c r="K65" s="85">
        <f t="shared" si="17"/>
        <v>0</v>
      </c>
      <c r="L65" s="85">
        <f t="shared" si="18"/>
        <v>0</v>
      </c>
      <c r="M65" s="85">
        <f t="shared" si="10"/>
        <v>0</v>
      </c>
      <c r="N65" s="86"/>
      <c r="O65" s="138" t="str">
        <f t="shared" si="4"/>
        <v>No</v>
      </c>
      <c r="P65" s="87" t="str">
        <f t="shared" si="11"/>
        <v/>
      </c>
      <c r="Q65" s="85">
        <f t="shared" si="23"/>
        <v>0</v>
      </c>
      <c r="S65" s="86"/>
      <c r="T65" s="87" t="str">
        <f t="shared" si="19"/>
        <v/>
      </c>
      <c r="U65" s="87" t="str">
        <f t="shared" si="13"/>
        <v>Nee</v>
      </c>
      <c r="V65" s="82">
        <f t="shared" si="20"/>
        <v>0</v>
      </c>
      <c r="W65" s="82">
        <f t="shared" si="21"/>
        <v>6</v>
      </c>
      <c r="X65" s="88">
        <f t="shared" si="22"/>
        <v>75</v>
      </c>
    </row>
    <row r="66" spans="1:24" ht="15.75" x14ac:dyDescent="0.25">
      <c r="A66" s="135">
        <v>58</v>
      </c>
      <c r="B66" s="18"/>
      <c r="C66" s="18"/>
      <c r="D66" s="18"/>
      <c r="E66" s="19" t="str">
        <f t="shared" si="14"/>
        <v>15+</v>
      </c>
      <c r="F66" s="18" t="str">
        <f t="shared" si="15"/>
        <v>a: Whole training camp</v>
      </c>
      <c r="G66" s="86"/>
      <c r="H66" s="106" t="str">
        <f t="shared" si="16"/>
        <v>-</v>
      </c>
      <c r="I66" s="136"/>
      <c r="J66" s="86"/>
      <c r="K66" s="85">
        <f t="shared" si="17"/>
        <v>0</v>
      </c>
      <c r="L66" s="85">
        <f t="shared" si="18"/>
        <v>0</v>
      </c>
      <c r="M66" s="85">
        <f t="shared" si="10"/>
        <v>0</v>
      </c>
      <c r="N66" s="86"/>
      <c r="O66" s="138" t="str">
        <f t="shared" si="4"/>
        <v>No</v>
      </c>
      <c r="P66" s="87" t="str">
        <f t="shared" si="11"/>
        <v/>
      </c>
      <c r="Q66" s="85">
        <f t="shared" si="23"/>
        <v>0</v>
      </c>
      <c r="S66" s="86"/>
      <c r="T66" s="87" t="str">
        <f t="shared" si="19"/>
        <v/>
      </c>
      <c r="U66" s="87" t="str">
        <f t="shared" si="13"/>
        <v>Nee</v>
      </c>
      <c r="V66" s="82">
        <f t="shared" si="20"/>
        <v>0</v>
      </c>
      <c r="W66" s="82">
        <f t="shared" si="21"/>
        <v>6</v>
      </c>
      <c r="X66" s="88">
        <f t="shared" si="22"/>
        <v>75</v>
      </c>
    </row>
    <row r="67" spans="1:24" ht="15.75" x14ac:dyDescent="0.25">
      <c r="A67" s="135">
        <v>59</v>
      </c>
      <c r="B67" s="18"/>
      <c r="C67" s="18"/>
      <c r="D67" s="18"/>
      <c r="E67" s="19" t="str">
        <f t="shared" si="14"/>
        <v>15+</v>
      </c>
      <c r="F67" s="18" t="str">
        <f t="shared" si="15"/>
        <v>a: Whole training camp</v>
      </c>
      <c r="G67" s="86"/>
      <c r="H67" s="106" t="str">
        <f t="shared" si="16"/>
        <v>-</v>
      </c>
      <c r="I67" s="136"/>
      <c r="J67" s="86"/>
      <c r="K67" s="85">
        <f t="shared" si="17"/>
        <v>0</v>
      </c>
      <c r="L67" s="85">
        <f t="shared" si="18"/>
        <v>0</v>
      </c>
      <c r="M67" s="85">
        <f t="shared" si="10"/>
        <v>0</v>
      </c>
      <c r="N67" s="86"/>
      <c r="O67" s="138" t="str">
        <f t="shared" si="4"/>
        <v>No</v>
      </c>
      <c r="P67" s="87" t="str">
        <f t="shared" si="11"/>
        <v/>
      </c>
      <c r="Q67" s="85">
        <f t="shared" si="23"/>
        <v>0</v>
      </c>
      <c r="S67" s="86"/>
      <c r="T67" s="87" t="str">
        <f t="shared" si="19"/>
        <v/>
      </c>
      <c r="U67" s="87" t="str">
        <f t="shared" si="13"/>
        <v>Nee</v>
      </c>
      <c r="V67" s="82">
        <f t="shared" si="20"/>
        <v>0</v>
      </c>
      <c r="W67" s="82">
        <f t="shared" si="21"/>
        <v>6</v>
      </c>
      <c r="X67" s="88">
        <f t="shared" si="22"/>
        <v>75</v>
      </c>
    </row>
    <row r="68" spans="1:24" ht="15.75" x14ac:dyDescent="0.25">
      <c r="A68" s="135">
        <v>60</v>
      </c>
      <c r="B68" s="18"/>
      <c r="C68" s="18"/>
      <c r="D68" s="18"/>
      <c r="E68" s="19" t="str">
        <f t="shared" si="14"/>
        <v>15+</v>
      </c>
      <c r="F68" s="18" t="str">
        <f t="shared" si="15"/>
        <v>a: Whole training camp</v>
      </c>
      <c r="G68" s="86"/>
      <c r="H68" s="106" t="str">
        <f t="shared" si="16"/>
        <v>-</v>
      </c>
      <c r="I68" s="136"/>
      <c r="J68" s="86"/>
      <c r="K68" s="85">
        <f t="shared" si="17"/>
        <v>0</v>
      </c>
      <c r="L68" s="85">
        <f t="shared" si="18"/>
        <v>0</v>
      </c>
      <c r="M68" s="85">
        <f t="shared" si="10"/>
        <v>0</v>
      </c>
      <c r="N68" s="86"/>
      <c r="O68" s="138" t="str">
        <f t="shared" si="4"/>
        <v>No</v>
      </c>
      <c r="P68" s="87" t="str">
        <f t="shared" si="11"/>
        <v/>
      </c>
      <c r="Q68" s="85">
        <f t="shared" si="23"/>
        <v>0</v>
      </c>
      <c r="S68" s="86"/>
      <c r="T68" s="87" t="str">
        <f t="shared" si="19"/>
        <v/>
      </c>
      <c r="U68" s="87" t="str">
        <f t="shared" si="13"/>
        <v>Nee</v>
      </c>
      <c r="V68" s="82">
        <f t="shared" si="20"/>
        <v>0</v>
      </c>
      <c r="W68" s="82">
        <f t="shared" si="21"/>
        <v>6</v>
      </c>
      <c r="X68" s="88">
        <f t="shared" si="22"/>
        <v>75</v>
      </c>
    </row>
    <row r="69" spans="1:24" ht="15.75" x14ac:dyDescent="0.25">
      <c r="A69" s="135">
        <v>61</v>
      </c>
      <c r="B69" s="18"/>
      <c r="C69" s="18"/>
      <c r="D69" s="18"/>
      <c r="E69" s="19" t="str">
        <f t="shared" si="14"/>
        <v>15+</v>
      </c>
      <c r="F69" s="18" t="str">
        <f t="shared" si="15"/>
        <v>a: Whole training camp</v>
      </c>
      <c r="G69" s="86"/>
      <c r="H69" s="106" t="str">
        <f t="shared" si="16"/>
        <v>-</v>
      </c>
      <c r="I69" s="136"/>
      <c r="J69" s="86"/>
      <c r="K69" s="85">
        <f t="shared" si="17"/>
        <v>0</v>
      </c>
      <c r="L69" s="85">
        <f t="shared" si="18"/>
        <v>0</v>
      </c>
      <c r="M69" s="85">
        <f t="shared" si="10"/>
        <v>0</v>
      </c>
      <c r="N69" s="86"/>
      <c r="O69" s="138" t="str">
        <f t="shared" si="4"/>
        <v>No</v>
      </c>
      <c r="P69" s="87" t="str">
        <f t="shared" si="11"/>
        <v/>
      </c>
      <c r="Q69" s="85">
        <f t="shared" si="23"/>
        <v>0</v>
      </c>
      <c r="S69" s="86"/>
      <c r="T69" s="87" t="str">
        <f t="shared" si="19"/>
        <v/>
      </c>
      <c r="U69" s="87" t="str">
        <f t="shared" si="13"/>
        <v>Nee</v>
      </c>
      <c r="V69" s="82">
        <f t="shared" si="20"/>
        <v>0</v>
      </c>
      <c r="W69" s="82">
        <f t="shared" si="21"/>
        <v>6</v>
      </c>
      <c r="X69" s="88">
        <f t="shared" si="22"/>
        <v>75</v>
      </c>
    </row>
    <row r="70" spans="1:24" ht="15.75" x14ac:dyDescent="0.25">
      <c r="A70" s="135">
        <v>62</v>
      </c>
      <c r="B70" s="18"/>
      <c r="C70" s="18"/>
      <c r="D70" s="18"/>
      <c r="E70" s="19" t="str">
        <f t="shared" si="14"/>
        <v>15+</v>
      </c>
      <c r="F70" s="18" t="str">
        <f t="shared" si="15"/>
        <v>a: Whole training camp</v>
      </c>
      <c r="G70" s="86"/>
      <c r="H70" s="106" t="str">
        <f t="shared" si="16"/>
        <v>-</v>
      </c>
      <c r="I70" s="136"/>
      <c r="J70" s="86"/>
      <c r="K70" s="85">
        <f t="shared" si="17"/>
        <v>0</v>
      </c>
      <c r="L70" s="85">
        <f t="shared" si="18"/>
        <v>0</v>
      </c>
      <c r="M70" s="85">
        <f t="shared" si="10"/>
        <v>0</v>
      </c>
      <c r="N70" s="86"/>
      <c r="O70" s="138" t="str">
        <f t="shared" si="4"/>
        <v>No</v>
      </c>
      <c r="P70" s="87" t="str">
        <f t="shared" si="11"/>
        <v/>
      </c>
      <c r="Q70" s="85">
        <f t="shared" si="23"/>
        <v>0</v>
      </c>
      <c r="S70" s="86"/>
      <c r="T70" s="87" t="str">
        <f t="shared" si="19"/>
        <v/>
      </c>
      <c r="U70" s="87" t="str">
        <f t="shared" si="13"/>
        <v>Nee</v>
      </c>
      <c r="V70" s="82">
        <f t="shared" si="20"/>
        <v>0</v>
      </c>
      <c r="W70" s="82">
        <f t="shared" si="21"/>
        <v>6</v>
      </c>
      <c r="X70" s="88">
        <f t="shared" si="22"/>
        <v>75</v>
      </c>
    </row>
    <row r="71" spans="1:24" ht="15.75" x14ac:dyDescent="0.25">
      <c r="A71" s="135">
        <v>63</v>
      </c>
      <c r="B71" s="18"/>
      <c r="C71" s="18"/>
      <c r="D71" s="18"/>
      <c r="E71" s="19" t="str">
        <f t="shared" si="14"/>
        <v>15+</v>
      </c>
      <c r="F71" s="18" t="str">
        <f t="shared" si="15"/>
        <v>a: Whole training camp</v>
      </c>
      <c r="G71" s="86"/>
      <c r="H71" s="106" t="str">
        <f t="shared" si="16"/>
        <v>-</v>
      </c>
      <c r="I71" s="136"/>
      <c r="J71" s="86"/>
      <c r="K71" s="85">
        <f t="shared" si="17"/>
        <v>0</v>
      </c>
      <c r="L71" s="85">
        <f t="shared" si="18"/>
        <v>0</v>
      </c>
      <c r="M71" s="85">
        <f t="shared" si="10"/>
        <v>0</v>
      </c>
      <c r="N71" s="86"/>
      <c r="O71" s="138" t="str">
        <f t="shared" si="4"/>
        <v>No</v>
      </c>
      <c r="P71" s="87" t="str">
        <f t="shared" si="11"/>
        <v/>
      </c>
      <c r="Q71" s="85">
        <f t="shared" si="23"/>
        <v>0</v>
      </c>
      <c r="S71" s="86"/>
      <c r="T71" s="87" t="str">
        <f t="shared" si="19"/>
        <v/>
      </c>
      <c r="U71" s="87" t="str">
        <f t="shared" si="13"/>
        <v>Nee</v>
      </c>
      <c r="V71" s="82">
        <f t="shared" si="20"/>
        <v>0</v>
      </c>
      <c r="W71" s="82">
        <f t="shared" si="21"/>
        <v>6</v>
      </c>
      <c r="X71" s="88">
        <f t="shared" si="22"/>
        <v>75</v>
      </c>
    </row>
    <row r="72" spans="1:24" ht="15.75" x14ac:dyDescent="0.25">
      <c r="A72" s="135">
        <v>64</v>
      </c>
      <c r="B72" s="18"/>
      <c r="C72" s="18"/>
      <c r="D72" s="18"/>
      <c r="E72" s="19" t="str">
        <f t="shared" si="14"/>
        <v>15+</v>
      </c>
      <c r="F72" s="18" t="str">
        <f t="shared" si="15"/>
        <v>a: Whole training camp</v>
      </c>
      <c r="G72" s="86"/>
      <c r="H72" s="106" t="str">
        <f t="shared" si="16"/>
        <v>-</v>
      </c>
      <c r="I72" s="136"/>
      <c r="J72" s="86"/>
      <c r="K72" s="85">
        <f t="shared" si="17"/>
        <v>0</v>
      </c>
      <c r="L72" s="85">
        <f t="shared" si="18"/>
        <v>0</v>
      </c>
      <c r="M72" s="85">
        <f t="shared" si="10"/>
        <v>0</v>
      </c>
      <c r="N72" s="86"/>
      <c r="O72" s="138" t="str">
        <f t="shared" si="4"/>
        <v>No</v>
      </c>
      <c r="P72" s="87" t="str">
        <f t="shared" si="11"/>
        <v/>
      </c>
      <c r="Q72" s="85">
        <f t="shared" si="23"/>
        <v>0</v>
      </c>
      <c r="S72" s="86"/>
      <c r="T72" s="87" t="str">
        <f t="shared" si="19"/>
        <v/>
      </c>
      <c r="U72" s="87" t="str">
        <f t="shared" si="13"/>
        <v>Nee</v>
      </c>
      <c r="V72" s="82">
        <f t="shared" si="20"/>
        <v>0</v>
      </c>
      <c r="W72" s="82">
        <f t="shared" si="21"/>
        <v>6</v>
      </c>
      <c r="X72" s="88">
        <f t="shared" si="22"/>
        <v>75</v>
      </c>
    </row>
    <row r="73" spans="1:24" ht="15.75" x14ac:dyDescent="0.25">
      <c r="A73" s="135">
        <v>65</v>
      </c>
      <c r="B73" s="18"/>
      <c r="C73" s="18"/>
      <c r="D73" s="18"/>
      <c r="E73" s="19" t="str">
        <f t="shared" si="14"/>
        <v>15+</v>
      </c>
      <c r="F73" s="18" t="str">
        <f t="shared" ref="F73:F83" si="24">OptieClub</f>
        <v>a: Whole training camp</v>
      </c>
      <c r="G73" s="86"/>
      <c r="H73" s="106" t="str">
        <f t="shared" ref="H73:H83" si="25">IF( U73="Ja", W73, "-")</f>
        <v>-</v>
      </c>
      <c r="I73" s="136"/>
      <c r="J73" s="86"/>
      <c r="K73" s="85">
        <f t="shared" ref="K73:K83" si="26">IF( U73="Ja", X73,0)</f>
        <v>0</v>
      </c>
      <c r="L73" s="85">
        <f t="shared" ref="L73:L83" si="27">IF(I73="Yes", KostenClinic,0)</f>
        <v>0</v>
      </c>
      <c r="M73" s="85">
        <f t="shared" si="10"/>
        <v>0</v>
      </c>
      <c r="N73" s="86"/>
      <c r="O73" s="138" t="str">
        <f t="shared" ref="O73:O83" si="28">InschrijvingBetaald</f>
        <v>No</v>
      </c>
      <c r="P73" s="87" t="str">
        <f t="shared" si="11"/>
        <v/>
      </c>
      <c r="Q73" s="85">
        <f t="shared" si="23"/>
        <v>0</v>
      </c>
      <c r="S73" s="86"/>
      <c r="T73" s="87" t="str">
        <f t="shared" ref="T73:T83" si="29">IF( ISTEXT(C73), CONCATENATE( UPPER(C73), "; ", B73), "")</f>
        <v/>
      </c>
      <c r="U73" s="87" t="str">
        <f t="shared" si="13"/>
        <v>Nee</v>
      </c>
      <c r="V73" s="82">
        <f t="shared" ref="V73:V83" si="30">VLOOKUP(F73,Opties,2,FALSE)</f>
        <v>0</v>
      </c>
      <c r="W73" s="82">
        <f t="shared" ref="W73:W83" si="31">VLOOKUP(F73,Opties,3,FALSE)</f>
        <v>6</v>
      </c>
      <c r="X73" s="88">
        <f t="shared" ref="X73:X83" si="32" xml:space="preserve"> IF(E73="Coach",0,  VLOOKUP(W73, KostenStage, 2, FALSE))</f>
        <v>75</v>
      </c>
    </row>
    <row r="74" spans="1:24" ht="15.75" x14ac:dyDescent="0.25">
      <c r="A74" s="135">
        <v>66</v>
      </c>
      <c r="B74" s="18"/>
      <c r="C74" s="18"/>
      <c r="D74" s="18"/>
      <c r="E74" s="19" t="str">
        <f t="shared" si="14"/>
        <v>15+</v>
      </c>
      <c r="F74" s="18" t="str">
        <f t="shared" si="24"/>
        <v>a: Whole training camp</v>
      </c>
      <c r="G74" s="86"/>
      <c r="H74" s="106" t="str">
        <f t="shared" si="25"/>
        <v>-</v>
      </c>
      <c r="I74" s="136"/>
      <c r="J74" s="86"/>
      <c r="K74" s="85">
        <f t="shared" si="26"/>
        <v>0</v>
      </c>
      <c r="L74" s="85">
        <f t="shared" si="27"/>
        <v>0</v>
      </c>
      <c r="M74" s="85">
        <f t="shared" ref="M74:M83" si="33">K74+L74</f>
        <v>0</v>
      </c>
      <c r="N74" s="86"/>
      <c r="O74" s="138" t="str">
        <f t="shared" si="28"/>
        <v>No</v>
      </c>
      <c r="P74" s="87" t="str">
        <f t="shared" ref="P74:P83" si="34">IF(O74="Partly", "Yes", "")</f>
        <v/>
      </c>
      <c r="Q74" s="85">
        <f t="shared" ref="Q74:Q83" si="35">IF(O74="Yes",M74,IF(O74="Partly", IF(P74="Yes",M74,0),0))</f>
        <v>0</v>
      </c>
      <c r="S74" s="86"/>
      <c r="T74" s="87" t="str">
        <f t="shared" si="29"/>
        <v/>
      </c>
      <c r="U74" s="87" t="str">
        <f t="shared" ref="U74:U83" si="36">IF(LEN(T74), "Ja", "Nee")</f>
        <v>Nee</v>
      </c>
      <c r="V74" s="82">
        <f t="shared" si="30"/>
        <v>0</v>
      </c>
      <c r="W74" s="82">
        <f t="shared" si="31"/>
        <v>6</v>
      </c>
      <c r="X74" s="88">
        <f t="shared" si="32"/>
        <v>75</v>
      </c>
    </row>
    <row r="75" spans="1:24" ht="15.75" x14ac:dyDescent="0.25">
      <c r="A75" s="135">
        <v>67</v>
      </c>
      <c r="B75" s="18"/>
      <c r="C75" s="18"/>
      <c r="D75" s="18"/>
      <c r="E75" s="19" t="str">
        <f t="shared" si="14"/>
        <v>15+</v>
      </c>
      <c r="F75" s="18" t="str">
        <f t="shared" si="24"/>
        <v>a: Whole training camp</v>
      </c>
      <c r="G75" s="86"/>
      <c r="H75" s="106" t="str">
        <f t="shared" si="25"/>
        <v>-</v>
      </c>
      <c r="I75" s="136"/>
      <c r="J75" s="86"/>
      <c r="K75" s="85">
        <f t="shared" si="26"/>
        <v>0</v>
      </c>
      <c r="L75" s="85">
        <f t="shared" si="27"/>
        <v>0</v>
      </c>
      <c r="M75" s="85">
        <f t="shared" si="33"/>
        <v>0</v>
      </c>
      <c r="N75" s="86"/>
      <c r="O75" s="138" t="str">
        <f t="shared" si="28"/>
        <v>No</v>
      </c>
      <c r="P75" s="87" t="str">
        <f t="shared" si="34"/>
        <v/>
      </c>
      <c r="Q75" s="85">
        <f t="shared" si="35"/>
        <v>0</v>
      </c>
      <c r="S75" s="86"/>
      <c r="T75" s="87" t="str">
        <f t="shared" si="29"/>
        <v/>
      </c>
      <c r="U75" s="87" t="str">
        <f t="shared" si="36"/>
        <v>Nee</v>
      </c>
      <c r="V75" s="82">
        <f t="shared" si="30"/>
        <v>0</v>
      </c>
      <c r="W75" s="82">
        <f t="shared" si="31"/>
        <v>6</v>
      </c>
      <c r="X75" s="88">
        <f t="shared" si="32"/>
        <v>75</v>
      </c>
    </row>
    <row r="76" spans="1:24" ht="15.75" x14ac:dyDescent="0.25">
      <c r="A76" s="135">
        <v>68</v>
      </c>
      <c r="B76" s="18"/>
      <c r="C76" s="18"/>
      <c r="D76" s="18"/>
      <c r="E76" s="19" t="str">
        <f t="shared" si="14"/>
        <v>15+</v>
      </c>
      <c r="F76" s="18" t="str">
        <f t="shared" si="24"/>
        <v>a: Whole training camp</v>
      </c>
      <c r="G76" s="86"/>
      <c r="H76" s="106" t="str">
        <f t="shared" si="25"/>
        <v>-</v>
      </c>
      <c r="I76" s="136"/>
      <c r="J76" s="86"/>
      <c r="K76" s="85">
        <f t="shared" si="26"/>
        <v>0</v>
      </c>
      <c r="L76" s="85">
        <f t="shared" si="27"/>
        <v>0</v>
      </c>
      <c r="M76" s="85">
        <f t="shared" si="33"/>
        <v>0</v>
      </c>
      <c r="N76" s="86"/>
      <c r="O76" s="138" t="str">
        <f t="shared" si="28"/>
        <v>No</v>
      </c>
      <c r="P76" s="87" t="str">
        <f t="shared" si="34"/>
        <v/>
      </c>
      <c r="Q76" s="85">
        <f t="shared" si="35"/>
        <v>0</v>
      </c>
      <c r="S76" s="86"/>
      <c r="T76" s="87" t="str">
        <f t="shared" si="29"/>
        <v/>
      </c>
      <c r="U76" s="87" t="str">
        <f t="shared" si="36"/>
        <v>Nee</v>
      </c>
      <c r="V76" s="82">
        <f t="shared" si="30"/>
        <v>0</v>
      </c>
      <c r="W76" s="82">
        <f t="shared" si="31"/>
        <v>6</v>
      </c>
      <c r="X76" s="88">
        <f t="shared" si="32"/>
        <v>75</v>
      </c>
    </row>
    <row r="77" spans="1:24" ht="15.75" x14ac:dyDescent="0.25">
      <c r="A77" s="135">
        <v>69</v>
      </c>
      <c r="B77" s="18"/>
      <c r="C77" s="18"/>
      <c r="D77" s="18"/>
      <c r="E77" s="19" t="str">
        <f t="shared" ref="E77:E83" si="37">IF(D77&lt;GrensU15,"15+", "15-")</f>
        <v>15+</v>
      </c>
      <c r="F77" s="18" t="str">
        <f t="shared" si="24"/>
        <v>a: Whole training camp</v>
      </c>
      <c r="G77" s="86"/>
      <c r="H77" s="106" t="str">
        <f t="shared" si="25"/>
        <v>-</v>
      </c>
      <c r="I77" s="136"/>
      <c r="J77" s="86"/>
      <c r="K77" s="85">
        <f t="shared" si="26"/>
        <v>0</v>
      </c>
      <c r="L77" s="85">
        <f t="shared" si="27"/>
        <v>0</v>
      </c>
      <c r="M77" s="85">
        <f t="shared" si="33"/>
        <v>0</v>
      </c>
      <c r="N77" s="86"/>
      <c r="O77" s="138" t="str">
        <f t="shared" si="28"/>
        <v>No</v>
      </c>
      <c r="P77" s="87" t="str">
        <f t="shared" si="34"/>
        <v/>
      </c>
      <c r="Q77" s="85">
        <f t="shared" si="35"/>
        <v>0</v>
      </c>
      <c r="S77" s="86"/>
      <c r="T77" s="87" t="str">
        <f t="shared" si="29"/>
        <v/>
      </c>
      <c r="U77" s="87" t="str">
        <f t="shared" si="36"/>
        <v>Nee</v>
      </c>
      <c r="V77" s="82">
        <f t="shared" si="30"/>
        <v>0</v>
      </c>
      <c r="W77" s="82">
        <f t="shared" si="31"/>
        <v>6</v>
      </c>
      <c r="X77" s="88">
        <f t="shared" si="32"/>
        <v>75</v>
      </c>
    </row>
    <row r="78" spans="1:24" ht="15.75" x14ac:dyDescent="0.25">
      <c r="A78" s="135">
        <v>70</v>
      </c>
      <c r="B78" s="18"/>
      <c r="C78" s="18"/>
      <c r="D78" s="18"/>
      <c r="E78" s="19" t="str">
        <f t="shared" si="37"/>
        <v>15+</v>
      </c>
      <c r="F78" s="18" t="str">
        <f t="shared" si="24"/>
        <v>a: Whole training camp</v>
      </c>
      <c r="G78" s="86"/>
      <c r="H78" s="106" t="str">
        <f t="shared" si="25"/>
        <v>-</v>
      </c>
      <c r="I78" s="136"/>
      <c r="J78" s="86"/>
      <c r="K78" s="85">
        <f t="shared" si="26"/>
        <v>0</v>
      </c>
      <c r="L78" s="85">
        <f t="shared" si="27"/>
        <v>0</v>
      </c>
      <c r="M78" s="85">
        <f t="shared" si="33"/>
        <v>0</v>
      </c>
      <c r="N78" s="86"/>
      <c r="O78" s="138" t="str">
        <f t="shared" si="28"/>
        <v>No</v>
      </c>
      <c r="P78" s="87" t="str">
        <f t="shared" si="34"/>
        <v/>
      </c>
      <c r="Q78" s="85">
        <f t="shared" si="35"/>
        <v>0</v>
      </c>
      <c r="S78" s="86"/>
      <c r="T78" s="87" t="str">
        <f t="shared" si="29"/>
        <v/>
      </c>
      <c r="U78" s="87" t="str">
        <f t="shared" si="36"/>
        <v>Nee</v>
      </c>
      <c r="V78" s="82">
        <f t="shared" si="30"/>
        <v>0</v>
      </c>
      <c r="W78" s="82">
        <f t="shared" si="31"/>
        <v>6</v>
      </c>
      <c r="X78" s="88">
        <f t="shared" si="32"/>
        <v>75</v>
      </c>
    </row>
    <row r="79" spans="1:24" ht="15.75" x14ac:dyDescent="0.25">
      <c r="A79" s="135">
        <v>71</v>
      </c>
      <c r="B79" s="18"/>
      <c r="C79" s="18"/>
      <c r="D79" s="18"/>
      <c r="E79" s="19" t="str">
        <f t="shared" si="37"/>
        <v>15+</v>
      </c>
      <c r="F79" s="18" t="str">
        <f t="shared" si="24"/>
        <v>a: Whole training camp</v>
      </c>
      <c r="G79" s="86"/>
      <c r="H79" s="106" t="str">
        <f t="shared" si="25"/>
        <v>-</v>
      </c>
      <c r="I79" s="136"/>
      <c r="J79" s="86"/>
      <c r="K79" s="85">
        <f t="shared" si="26"/>
        <v>0</v>
      </c>
      <c r="L79" s="85">
        <f t="shared" si="27"/>
        <v>0</v>
      </c>
      <c r="M79" s="85">
        <f t="shared" si="33"/>
        <v>0</v>
      </c>
      <c r="N79" s="86"/>
      <c r="O79" s="138" t="str">
        <f t="shared" si="28"/>
        <v>No</v>
      </c>
      <c r="P79" s="87" t="str">
        <f t="shared" si="34"/>
        <v/>
      </c>
      <c r="Q79" s="85">
        <f t="shared" si="35"/>
        <v>0</v>
      </c>
      <c r="S79" s="86"/>
      <c r="T79" s="87" t="str">
        <f t="shared" si="29"/>
        <v/>
      </c>
      <c r="U79" s="87" t="str">
        <f t="shared" si="36"/>
        <v>Nee</v>
      </c>
      <c r="V79" s="82">
        <f t="shared" si="30"/>
        <v>0</v>
      </c>
      <c r="W79" s="82">
        <f t="shared" si="31"/>
        <v>6</v>
      </c>
      <c r="X79" s="88">
        <f t="shared" si="32"/>
        <v>75</v>
      </c>
    </row>
    <row r="80" spans="1:24" ht="15.75" x14ac:dyDescent="0.25">
      <c r="A80" s="135">
        <v>72</v>
      </c>
      <c r="B80" s="18"/>
      <c r="C80" s="18"/>
      <c r="D80" s="18"/>
      <c r="E80" s="19" t="str">
        <f t="shared" si="37"/>
        <v>15+</v>
      </c>
      <c r="F80" s="18" t="str">
        <f t="shared" si="24"/>
        <v>a: Whole training camp</v>
      </c>
      <c r="G80" s="86"/>
      <c r="H80" s="106" t="str">
        <f t="shared" si="25"/>
        <v>-</v>
      </c>
      <c r="I80" s="136"/>
      <c r="J80" s="86"/>
      <c r="K80" s="85">
        <f t="shared" si="26"/>
        <v>0</v>
      </c>
      <c r="L80" s="85">
        <f t="shared" si="27"/>
        <v>0</v>
      </c>
      <c r="M80" s="85">
        <f t="shared" si="33"/>
        <v>0</v>
      </c>
      <c r="N80" s="86"/>
      <c r="O80" s="138" t="str">
        <f t="shared" si="28"/>
        <v>No</v>
      </c>
      <c r="P80" s="87" t="str">
        <f t="shared" si="34"/>
        <v/>
      </c>
      <c r="Q80" s="85">
        <f t="shared" si="35"/>
        <v>0</v>
      </c>
      <c r="S80" s="86"/>
      <c r="T80" s="87" t="str">
        <f t="shared" si="29"/>
        <v/>
      </c>
      <c r="U80" s="87" t="str">
        <f t="shared" si="36"/>
        <v>Nee</v>
      </c>
      <c r="V80" s="82">
        <f t="shared" si="30"/>
        <v>0</v>
      </c>
      <c r="W80" s="82">
        <f t="shared" si="31"/>
        <v>6</v>
      </c>
      <c r="X80" s="88">
        <f t="shared" si="32"/>
        <v>75</v>
      </c>
    </row>
    <row r="81" spans="1:24" ht="15.75" x14ac:dyDescent="0.25">
      <c r="A81" s="135">
        <v>73</v>
      </c>
      <c r="B81" s="18"/>
      <c r="C81" s="18"/>
      <c r="D81" s="18"/>
      <c r="E81" s="19" t="str">
        <f t="shared" si="37"/>
        <v>15+</v>
      </c>
      <c r="F81" s="18" t="str">
        <f t="shared" si="24"/>
        <v>a: Whole training camp</v>
      </c>
      <c r="G81" s="86"/>
      <c r="H81" s="106" t="str">
        <f t="shared" si="25"/>
        <v>-</v>
      </c>
      <c r="I81" s="136"/>
      <c r="J81" s="86"/>
      <c r="K81" s="85">
        <f t="shared" si="26"/>
        <v>0</v>
      </c>
      <c r="L81" s="85">
        <f t="shared" si="27"/>
        <v>0</v>
      </c>
      <c r="M81" s="85">
        <f t="shared" si="33"/>
        <v>0</v>
      </c>
      <c r="N81" s="86"/>
      <c r="O81" s="138" t="str">
        <f t="shared" si="28"/>
        <v>No</v>
      </c>
      <c r="P81" s="87" t="str">
        <f t="shared" si="34"/>
        <v/>
      </c>
      <c r="Q81" s="85">
        <f t="shared" si="35"/>
        <v>0</v>
      </c>
      <c r="S81" s="86"/>
      <c r="T81" s="87" t="str">
        <f t="shared" si="29"/>
        <v/>
      </c>
      <c r="U81" s="87" t="str">
        <f t="shared" si="36"/>
        <v>Nee</v>
      </c>
      <c r="V81" s="82">
        <f t="shared" si="30"/>
        <v>0</v>
      </c>
      <c r="W81" s="82">
        <f t="shared" si="31"/>
        <v>6</v>
      </c>
      <c r="X81" s="88">
        <f t="shared" si="32"/>
        <v>75</v>
      </c>
    </row>
    <row r="82" spans="1:24" ht="15.75" x14ac:dyDescent="0.25">
      <c r="A82" s="135">
        <v>74</v>
      </c>
      <c r="B82" s="18"/>
      <c r="C82" s="18"/>
      <c r="D82" s="18"/>
      <c r="E82" s="19" t="str">
        <f t="shared" si="37"/>
        <v>15+</v>
      </c>
      <c r="F82" s="18" t="str">
        <f t="shared" si="24"/>
        <v>a: Whole training camp</v>
      </c>
      <c r="G82" s="86"/>
      <c r="H82" s="106" t="str">
        <f t="shared" si="25"/>
        <v>-</v>
      </c>
      <c r="I82" s="136"/>
      <c r="J82" s="86"/>
      <c r="K82" s="85">
        <f t="shared" si="26"/>
        <v>0</v>
      </c>
      <c r="L82" s="85">
        <f t="shared" si="27"/>
        <v>0</v>
      </c>
      <c r="M82" s="85">
        <f t="shared" si="33"/>
        <v>0</v>
      </c>
      <c r="N82" s="86"/>
      <c r="O82" s="138" t="str">
        <f t="shared" si="28"/>
        <v>No</v>
      </c>
      <c r="P82" s="87" t="str">
        <f t="shared" si="34"/>
        <v/>
      </c>
      <c r="Q82" s="85">
        <f t="shared" si="35"/>
        <v>0</v>
      </c>
      <c r="S82" s="86"/>
      <c r="T82" s="87" t="str">
        <f t="shared" si="29"/>
        <v/>
      </c>
      <c r="U82" s="87" t="str">
        <f t="shared" si="36"/>
        <v>Nee</v>
      </c>
      <c r="V82" s="82">
        <f t="shared" si="30"/>
        <v>0</v>
      </c>
      <c r="W82" s="82">
        <f t="shared" si="31"/>
        <v>6</v>
      </c>
      <c r="X82" s="88">
        <f t="shared" si="32"/>
        <v>75</v>
      </c>
    </row>
    <row r="83" spans="1:24" ht="15.75" x14ac:dyDescent="0.25">
      <c r="A83" s="135">
        <v>75</v>
      </c>
      <c r="B83" s="18"/>
      <c r="C83" s="18"/>
      <c r="D83" s="18"/>
      <c r="E83" s="19" t="str">
        <f t="shared" si="37"/>
        <v>15+</v>
      </c>
      <c r="F83" s="18" t="str">
        <f t="shared" si="24"/>
        <v>a: Whole training camp</v>
      </c>
      <c r="G83" s="86"/>
      <c r="H83" s="106" t="str">
        <f t="shared" si="25"/>
        <v>-</v>
      </c>
      <c r="I83" s="136"/>
      <c r="J83" s="86"/>
      <c r="K83" s="85">
        <f t="shared" si="26"/>
        <v>0</v>
      </c>
      <c r="L83" s="85">
        <f t="shared" si="27"/>
        <v>0</v>
      </c>
      <c r="M83" s="85">
        <f t="shared" si="33"/>
        <v>0</v>
      </c>
      <c r="N83" s="86"/>
      <c r="O83" s="138" t="str">
        <f t="shared" si="28"/>
        <v>No</v>
      </c>
      <c r="P83" s="87" t="str">
        <f t="shared" si="34"/>
        <v/>
      </c>
      <c r="Q83" s="85">
        <f t="shared" si="35"/>
        <v>0</v>
      </c>
      <c r="S83" s="86"/>
      <c r="T83" s="87" t="str">
        <f t="shared" si="29"/>
        <v/>
      </c>
      <c r="U83" s="87" t="str">
        <f t="shared" si="36"/>
        <v>Nee</v>
      </c>
      <c r="V83" s="82">
        <f t="shared" si="30"/>
        <v>0</v>
      </c>
      <c r="W83" s="82">
        <f t="shared" si="31"/>
        <v>6</v>
      </c>
      <c r="X83" s="88">
        <f t="shared" si="32"/>
        <v>75</v>
      </c>
    </row>
    <row r="85" spans="1:24" x14ac:dyDescent="0.25">
      <c r="M85" s="89">
        <f>SUM(M9:M83)</f>
        <v>0</v>
      </c>
      <c r="O85" s="89"/>
      <c r="P85" s="89"/>
    </row>
    <row r="86" spans="1:24" x14ac:dyDescent="0.25">
      <c r="Q86" s="89">
        <f>SUM(Q9:Q84)</f>
        <v>0</v>
      </c>
    </row>
  </sheetData>
  <sheetProtection algorithmName="SHA-512" hashValue="b/TDOg1MyrgmgMmZU/HyaqdjoMnhu4SY5MfXL6dMNAyn3QRxOJYSJ2joAIjeZu1iorrYbd5cMMDn+wP4BsNC+w==" saltValue="jxJM7gtbDdeoBDYok69DEw==" spinCount="100000" sheet="1" selectLockedCells="1"/>
  <protectedRanges>
    <protectedRange algorithmName="SHA-512" hashValue="4cEj7iZENMCCvCsVpgDP57Y6oXQq6zGWs6riONw/YrMdulHeBxIHuvcVOwt9cgoehYgo5X0EdF1QMdVmrcnJ9g==" saltValue="rIROB0sItDOroz35gGKBZw==" spinCount="100000" sqref="Y1:XFD6 A1:G5 F6:G6 Q3:S6 A6 V7:XFD7 H1:S2 H4:P6 A7:S7 J3:P3" name="Bereik1_1"/>
    <protectedRange sqref="N9:N83 J9:J83 S9:S83 G9:G83 E9:E83" name="SorteerLijst"/>
    <protectedRange sqref="T9:U83 T6:X6" name="SorteerLijst_4"/>
    <protectedRange sqref="O9:P83 I9:I83" name="SorteerLijst_1"/>
    <protectedRange algorithmName="SHA-512" hashValue="4cEj7iZENMCCvCsVpgDP57Y6oXQq6zGWs6riONw/YrMdulHeBxIHuvcVOwt9cgoehYgo5X0EdF1QMdVmrcnJ9g==" saltValue="rIROB0sItDOroz35gGKBZw==" spinCount="100000" sqref="B6:E6" name="Bereik1"/>
  </protectedRanges>
  <mergeCells count="2">
    <mergeCell ref="K1:M1"/>
    <mergeCell ref="O1:R1"/>
  </mergeCells>
  <conditionalFormatting sqref="E9:E83">
    <cfRule type="cellIs" dxfId="17" priority="19" operator="equal">
      <formula>"15-"</formula>
    </cfRule>
    <cfRule type="cellIs" dxfId="16" priority="20" operator="equal">
      <formula>"15+"</formula>
    </cfRule>
  </conditionalFormatting>
  <conditionalFormatting sqref="G9:H83">
    <cfRule type="cellIs" dxfId="15" priority="5" operator="equal">
      <formula>"15-"</formula>
    </cfRule>
    <cfRule type="cellIs" dxfId="14" priority="6" operator="equal">
      <formula>"15+"</formula>
    </cfRule>
  </conditionalFormatting>
  <conditionalFormatting sqref="I9:I83">
    <cfRule type="cellIs" dxfId="13" priority="3" operator="equal">
      <formula>"No"</formula>
    </cfRule>
    <cfRule type="cellIs" dxfId="12" priority="4" operator="equal">
      <formula>"Yes"</formula>
    </cfRule>
  </conditionalFormatting>
  <conditionalFormatting sqref="J9:J83">
    <cfRule type="cellIs" dxfId="11" priority="15" operator="equal">
      <formula>"15-"</formula>
    </cfRule>
    <cfRule type="cellIs" dxfId="10" priority="16" operator="equal">
      <formula>"15+"</formula>
    </cfRule>
  </conditionalFormatting>
  <conditionalFormatting sqref="N9:N83">
    <cfRule type="cellIs" dxfId="9" priority="13" operator="equal">
      <formula>"15-"</formula>
    </cfRule>
    <cfRule type="cellIs" dxfId="8" priority="14" operator="equal">
      <formula>"15+"</formula>
    </cfRule>
  </conditionalFormatting>
  <conditionalFormatting sqref="P9:P83">
    <cfRule type="cellIs" dxfId="7" priority="17" operator="equal">
      <formula>"No"</formula>
    </cfRule>
    <cfRule type="cellIs" dxfId="6" priority="18" operator="equal">
      <formula>"Yes"</formula>
    </cfRule>
  </conditionalFormatting>
  <conditionalFormatting sqref="S9:S83">
    <cfRule type="cellIs" dxfId="5" priority="9" operator="equal">
      <formula>"15-"</formula>
    </cfRule>
    <cfRule type="cellIs" dxfId="4" priority="10" operator="equal">
      <formula>"15+"</formula>
    </cfRule>
  </conditionalFormatting>
  <dataValidations xWindow="594" yWindow="525" count="5">
    <dataValidation type="list" showInputMessage="1" showErrorMessage="1" sqref="P9:P83" xr:uid="{00000000-0002-0000-0100-000000000000}">
      <formula1>JaNee</formula1>
    </dataValidation>
    <dataValidation type="list" allowBlank="1" showInputMessage="1" showErrorMessage="1" sqref="J9:J83 N9:N83 S9:S83 G9:G83 E9:E83" xr:uid="{00000000-0002-0000-0100-000001000000}">
      <formula1>CategorieWaarden</formula1>
    </dataValidation>
    <dataValidation type="list" allowBlank="1" showInputMessage="1" showErrorMessage="1" sqref="F9:F83" xr:uid="{00000000-0002-0000-0100-000002000000}">
      <formula1>OptieBeschrijvingen</formula1>
    </dataValidation>
    <dataValidation type="list" showInputMessage="1" showErrorMessage="1" promptTitle="Clinic" prompt="Select &quot;Yes&quot; in case the judoka participates in the clinic." sqref="I9:I83" xr:uid="{00000000-0002-0000-0100-000003000000}">
      <formula1>JaNee</formula1>
    </dataValidation>
    <dataValidation showDropDown="1" showInputMessage="1" showErrorMessage="1" sqref="O9:O83" xr:uid="{00000000-0002-0000-0100-000004000000}"/>
  </dataValidation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R81"/>
  <sheetViews>
    <sheetView zoomScaleNormal="100" workbookViewId="0">
      <pane ySplit="6" topLeftCell="A7" activePane="bottomLeft" state="frozen"/>
      <selection activeCell="F8" sqref="F8"/>
      <selection pane="bottomLeft" activeCell="O2" sqref="O2"/>
    </sheetView>
  </sheetViews>
  <sheetFormatPr defaultColWidth="11" defaultRowHeight="15.75" outlineLevelCol="1" x14ac:dyDescent="0.25"/>
  <cols>
    <col min="4" max="4" width="13.125" customWidth="1"/>
    <col min="5" max="5" width="17.125" customWidth="1"/>
    <col min="6" max="6" width="15.625" customWidth="1"/>
    <col min="7" max="8" width="13.5" customWidth="1"/>
    <col min="16" max="16" width="27.125" customWidth="1"/>
    <col min="18" max="18" width="23" bestFit="1" customWidth="1" outlineLevel="1"/>
  </cols>
  <sheetData>
    <row r="1" spans="1:18" ht="47.25" x14ac:dyDescent="0.25">
      <c r="A1" s="162" t="s">
        <v>27</v>
      </c>
      <c r="B1" s="163" t="s">
        <v>28</v>
      </c>
      <c r="C1" s="164"/>
      <c r="D1" s="31" t="s">
        <v>18</v>
      </c>
      <c r="E1" s="32" t="s">
        <v>29</v>
      </c>
      <c r="F1" s="32" t="s">
        <v>30</v>
      </c>
      <c r="G1" s="32" t="s">
        <v>31</v>
      </c>
      <c r="H1" s="115" t="s">
        <v>53</v>
      </c>
      <c r="I1" s="32" t="s">
        <v>58</v>
      </c>
      <c r="J1" s="32" t="s">
        <v>59</v>
      </c>
      <c r="K1" s="115" t="s">
        <v>60</v>
      </c>
      <c r="L1" s="115" t="s">
        <v>61</v>
      </c>
      <c r="M1" s="115" t="s">
        <v>62</v>
      </c>
      <c r="N1" s="115" t="s">
        <v>63</v>
      </c>
      <c r="O1" s="32" t="s">
        <v>32</v>
      </c>
      <c r="P1" s="32" t="s">
        <v>34</v>
      </c>
      <c r="Q1" s="33" t="s">
        <v>35</v>
      </c>
      <c r="R1" s="20" t="s">
        <v>20</v>
      </c>
    </row>
    <row r="2" spans="1:18" x14ac:dyDescent="0.25">
      <c r="A2" s="162"/>
      <c r="B2" s="172">
        <f t="array" ref="B2">SUM(IF(FREQUENCY(IF(LEN(DATA_ANaam)&gt;0,MATCH(DATA_ANaam,DATA_ANaam,0),""),IF(LEN(DATA_ANaam)&gt;0,MATCH(DATA_ANaam,DATA_ANaam,0),""))&gt;0,1))</f>
        <v>0</v>
      </c>
      <c r="C2" s="173"/>
      <c r="D2" s="165"/>
      <c r="E2" s="140">
        <f t="array" ref="E2">SUM(IF(FREQUENCY(IF(LEN(DATA_Ver)&gt;0,MATCH(DATA_Ver,DATA_Ver,0),""),IF(LEN(DATA_Ver)&gt;0,MATCH(DATA_Ver,DATA_Ver,0),""))&gt;0,1))-1</f>
        <v>0</v>
      </c>
      <c r="F2" s="32"/>
      <c r="G2" s="32">
        <f>$B$2-COUNTIF(Categorie,"Coach")</f>
        <v>0</v>
      </c>
      <c r="H2" s="115"/>
      <c r="I2" s="32">
        <f>COUNTIFS( Categorie, "15-", Dag_1, "Ja")+COUNTIFS( Categorie, "15+", Dag_1, "Ja")</f>
        <v>75</v>
      </c>
      <c r="J2" s="32">
        <f>COUNTIFS( Categorie, "15-", Dag_2_Ochtend, "Ja")+COUNTIFS( Categorie, "15+", Dag_2_Ochtend, "Ja")</f>
        <v>75</v>
      </c>
      <c r="K2" s="32">
        <f>COUNTIFS( Categorie, "15-", Dag_2_Middag, "Ja")+COUNTIFS( Categorie, "15+", Dag_2_Middag, "Ja")</f>
        <v>75</v>
      </c>
      <c r="L2" s="32">
        <f>COUNTIFS( Categorie, "15-", Dag_3_Ochtend, "Ja")+COUNTIFS( Categorie, "15+", Dag_2_Ochtend, "Ja")</f>
        <v>75</v>
      </c>
      <c r="M2" s="32">
        <f>COUNTIFS( Categorie, "15-", Dag_3_Middag, "Ja")+COUNTIFS( Categorie, "15+", Dag_2_Middag, "Ja")</f>
        <v>75</v>
      </c>
      <c r="N2" s="32">
        <f>COUNTIFS( Categorie, "15-", Dag_4, "Ja")+COUNTIFS( Categorie, "15+", Dag_4, "Ja")</f>
        <v>75</v>
      </c>
      <c r="O2" s="115">
        <f t="array" ref="O2">SUM(IF(FREQUENCY(IF(LEN(DATA_Land)&gt;0,MATCH(DATA_Land,DATA_Land,0),""),IF(LEN(DATA_Land)&gt;0,MATCH(DATA_Land,DATA_Land,0),""))&gt;0,1))-1</f>
        <v>0</v>
      </c>
      <c r="P2" s="32"/>
      <c r="Q2" s="34"/>
      <c r="R2" s="21"/>
    </row>
    <row r="3" spans="1:18" x14ac:dyDescent="0.25">
      <c r="A3" s="162"/>
      <c r="B3" s="162"/>
      <c r="C3" s="162"/>
      <c r="D3" s="166"/>
      <c r="E3" s="168"/>
      <c r="F3" s="35" t="str">
        <f>"Betaald: " &amp;COUNTIF(Betaald, "Ja")</f>
        <v>Betaald: 0</v>
      </c>
      <c r="G3" s="35" t="str">
        <f>"15-: " &amp;COUNTIF(Categorie, "15-")</f>
        <v>15-: 0</v>
      </c>
      <c r="H3" s="114"/>
      <c r="I3" s="35" t="str">
        <f>"15-: " &amp;COUNTIFS( Categorie, "15-", Dag_1, "Ja")</f>
        <v>15-: 0</v>
      </c>
      <c r="J3" s="35" t="str">
        <f>"15-: " &amp;COUNTIFS( Categorie, "15-", Dag_2_Ochtend, "Ja")</f>
        <v>15-: 0</v>
      </c>
      <c r="K3" s="35" t="str">
        <f>"15-: " &amp;COUNTIFS( Categorie, "15-", Dag_2_Ochtend, "Ja")</f>
        <v>15-: 0</v>
      </c>
      <c r="L3" s="35" t="str">
        <f>"15-: " &amp;COUNTIFS( Categorie, "15-", Dag_3_Ochtend, "Ja")</f>
        <v>15-: 0</v>
      </c>
      <c r="M3" s="35" t="str">
        <f>"15-: " &amp;COUNTIFS( Categorie, "15-", Dag_3_Ochtend, "Ja")</f>
        <v>15-: 0</v>
      </c>
      <c r="N3" s="35" t="str">
        <f>"15-: " &amp;COUNTIFS( Categorie, "15-", Dag_4, "Ja")</f>
        <v>15-: 0</v>
      </c>
      <c r="O3" s="160"/>
      <c r="P3" s="153"/>
      <c r="Q3" s="154" t="s">
        <v>21</v>
      </c>
      <c r="R3" s="157" t="s">
        <v>21</v>
      </c>
    </row>
    <row r="4" spans="1:18" x14ac:dyDescent="0.25">
      <c r="A4" s="162"/>
      <c r="B4" s="162"/>
      <c r="C4" s="162"/>
      <c r="D4" s="166"/>
      <c r="E4" s="169"/>
      <c r="F4" s="160" t="str">
        <f>"Nog betalen: " &amp;COUNTIF(Betaald, "Nee")</f>
        <v>Nog betalen: 75</v>
      </c>
      <c r="G4" s="35" t="str">
        <f>"15+: " &amp;($B$2 - COUNTIF(Categorie, "15-")-COUNTIF(Categorie, "Coach"))</f>
        <v>15+: 0</v>
      </c>
      <c r="H4" s="114"/>
      <c r="I4" s="35" t="str">
        <f>"15+: "&amp;(COUNTIFS(Categorie,"15+",Dag_1,"Ja"))</f>
        <v>15+: 75</v>
      </c>
      <c r="J4" s="35" t="str">
        <f>"15+: "&amp;(COUNTIFS(Categorie,"15+",Dag_2_Ochtend,"Ja"))</f>
        <v>15+: 75</v>
      </c>
      <c r="K4" s="35" t="str">
        <f>"15+: "&amp;(COUNTIFS(Categorie,"15+",Dag_2_Ochtend,"Ja"))</f>
        <v>15+: 75</v>
      </c>
      <c r="L4" s="35" t="str">
        <f>"15+: "&amp;(COUNTIFS(Categorie,"15+",Dag_3_Ochtend,"Ja"))</f>
        <v>15+: 75</v>
      </c>
      <c r="M4" s="35" t="str">
        <f>"15+: "&amp;(COUNTIFS(Categorie,"15+",Dag_3_Ochtend,"Ja"))</f>
        <v>15+: 75</v>
      </c>
      <c r="N4" s="35" t="str">
        <f>"15+: "&amp;(COUNTIFS(Categorie,"15+",Dag_4,"Ja"))</f>
        <v>15+: 75</v>
      </c>
      <c r="O4" s="171"/>
      <c r="P4" s="153"/>
      <c r="Q4" s="155"/>
      <c r="R4" s="158"/>
    </row>
    <row r="5" spans="1:18" x14ac:dyDescent="0.25">
      <c r="A5" s="162"/>
      <c r="B5" s="162"/>
      <c r="C5" s="162"/>
      <c r="D5" s="167"/>
      <c r="E5" s="170"/>
      <c r="F5" s="161"/>
      <c r="G5" s="35" t="str">
        <f>"Coach: " &amp;COUNTIF(Categorie, "Coach")</f>
        <v>Coach: 0</v>
      </c>
      <c r="H5" s="114"/>
      <c r="I5" s="35" t="str">
        <f>"Coach: " &amp;COUNTIFS( Categorie, "Coach", Dag_1, "Ja")</f>
        <v>Coach: 0</v>
      </c>
      <c r="J5" s="35" t="str">
        <f>"Coach: " &amp;COUNTIFS( Categorie, "Coach", Dag_2_Ochtend, "Ja")</f>
        <v>Coach: 0</v>
      </c>
      <c r="K5" s="35" t="str">
        <f>"Coach: " &amp;COUNTIFS( Categorie, "Coach", Dag_2_Ochtend, "Ja")</f>
        <v>Coach: 0</v>
      </c>
      <c r="L5" s="35" t="str">
        <f>"Coach: " &amp;COUNTIFS( Categorie, "Coach", Dag_3_Ochtend, "Ja")</f>
        <v>Coach: 0</v>
      </c>
      <c r="M5" s="35" t="str">
        <f>"Coach: " &amp;COUNTIFS( Categorie, "Coach", Dag_3_Ochtend, "Ja")</f>
        <v>Coach: 0</v>
      </c>
      <c r="N5" s="35" t="str">
        <f>"Coach: " &amp;COUNTIFS( Categorie, "Coach", Dag_4, "Ja")</f>
        <v>Coach: 0</v>
      </c>
      <c r="O5" s="161"/>
      <c r="P5" s="153"/>
      <c r="Q5" s="156"/>
      <c r="R5" s="159"/>
    </row>
    <row r="6" spans="1:18" x14ac:dyDescent="0.25">
      <c r="A6" s="36" t="s">
        <v>15</v>
      </c>
      <c r="B6" s="22" t="s">
        <v>16</v>
      </c>
      <c r="C6" s="22" t="s">
        <v>17</v>
      </c>
      <c r="D6" s="37" t="s">
        <v>36</v>
      </c>
      <c r="E6" s="22" t="s">
        <v>37</v>
      </c>
      <c r="F6" s="22" t="s">
        <v>30</v>
      </c>
      <c r="G6" s="22" t="s">
        <v>2</v>
      </c>
      <c r="H6" s="22" t="s">
        <v>3</v>
      </c>
      <c r="I6" s="22" t="s">
        <v>13</v>
      </c>
      <c r="J6" s="22" t="s">
        <v>13</v>
      </c>
      <c r="K6" s="22" t="s">
        <v>13</v>
      </c>
      <c r="L6" s="22" t="s">
        <v>13</v>
      </c>
      <c r="M6" s="22" t="s">
        <v>13</v>
      </c>
      <c r="N6" s="22" t="s">
        <v>13</v>
      </c>
      <c r="O6" s="22" t="s">
        <v>0</v>
      </c>
      <c r="P6" s="22"/>
      <c r="Q6" s="38" t="s">
        <v>15</v>
      </c>
      <c r="R6" s="22" t="s">
        <v>22</v>
      </c>
    </row>
    <row r="7" spans="1:18" x14ac:dyDescent="0.25">
      <c r="A7" s="39">
        <v>1</v>
      </c>
      <c r="B7" s="16">
        <f>Participants!B9</f>
        <v>0</v>
      </c>
      <c r="C7" s="16">
        <f>Participants!C9</f>
        <v>0</v>
      </c>
      <c r="D7" s="16">
        <f>Participants!D9</f>
        <v>0</v>
      </c>
      <c r="E7" s="40">
        <f>Participants!$C$1</f>
        <v>0</v>
      </c>
      <c r="F7" s="16" t="str">
        <f>IF(Participants!O9="Yes","Ja",IF(Participants!O9="Partly",Participants!P9,"Nee"))</f>
        <v>Nee</v>
      </c>
      <c r="G7" s="16" t="str">
        <f>Participants!E9</f>
        <v>15+</v>
      </c>
      <c r="H7" s="16" t="str">
        <f>Participants!H9</f>
        <v>-</v>
      </c>
      <c r="I7" s="16" t="str">
        <f>IF($H7&gt;0, "Ja", "Nee")</f>
        <v>Ja</v>
      </c>
      <c r="J7" s="16" t="str">
        <f>IF($H7&gt;1, "Ja", "Nee")</f>
        <v>Ja</v>
      </c>
      <c r="K7" s="16" t="str">
        <f>IF($H7&gt;2, "Ja", "Nee")</f>
        <v>Ja</v>
      </c>
      <c r="L7" s="16" t="str">
        <f>IF($H7&gt;3, "Ja", "Nee")</f>
        <v>Ja</v>
      </c>
      <c r="M7" s="16" t="str">
        <f>IF($H7&gt;4, "Ja", "Nee")</f>
        <v>Ja</v>
      </c>
      <c r="N7" s="16" t="str">
        <f>IF($H7&gt;5, "Ja", "Nee")</f>
        <v>Ja</v>
      </c>
      <c r="O7" s="16">
        <f>'Club details'!$B$8</f>
        <v>0</v>
      </c>
      <c r="P7" s="16"/>
      <c r="Q7" s="41">
        <v>1</v>
      </c>
      <c r="R7" s="16" t="str">
        <f>IF( ISTEXT(C7), CONCATENATE( UPPER(C7), "; ", B7), "")</f>
        <v/>
      </c>
    </row>
    <row r="8" spans="1:18" x14ac:dyDescent="0.25">
      <c r="A8" s="39">
        <v>2</v>
      </c>
      <c r="B8" s="16">
        <f>Participants!B10</f>
        <v>0</v>
      </c>
      <c r="C8" s="16">
        <f>Participants!C10</f>
        <v>0</v>
      </c>
      <c r="D8" s="16">
        <f>Participants!D10</f>
        <v>0</v>
      </c>
      <c r="E8" s="40">
        <f>Participants!$C$1</f>
        <v>0</v>
      </c>
      <c r="F8" s="16" t="str">
        <f>IF(Participants!O10="Yes","Ja",IF(Participants!O10="Partly",Participants!P10,"Nee"))</f>
        <v>Nee</v>
      </c>
      <c r="G8" s="16" t="str">
        <f>Participants!E10</f>
        <v>15+</v>
      </c>
      <c r="H8" s="16" t="str">
        <f>Participants!H10</f>
        <v>-</v>
      </c>
      <c r="I8" s="16" t="str">
        <f t="shared" ref="I8:I71" si="0">IF($H8&gt;0, "Ja", "Nee")</f>
        <v>Ja</v>
      </c>
      <c r="J8" s="16" t="str">
        <f t="shared" ref="J8:J71" si="1">IF($H8&gt;1, "Ja", "Nee")</f>
        <v>Ja</v>
      </c>
      <c r="K8" s="16" t="str">
        <f t="shared" ref="K8:K71" si="2">IF($H8&gt;2, "Ja", "Nee")</f>
        <v>Ja</v>
      </c>
      <c r="L8" s="16" t="str">
        <f t="shared" ref="L8:L71" si="3">IF($H8&gt;3, "Ja", "Nee")</f>
        <v>Ja</v>
      </c>
      <c r="M8" s="16" t="str">
        <f t="shared" ref="M8:M71" si="4">IF($H8&gt;4, "Ja", "Nee")</f>
        <v>Ja</v>
      </c>
      <c r="N8" s="16" t="str">
        <f t="shared" ref="N8:N71" si="5">IF($H8&gt;5, "Ja", "Nee")</f>
        <v>Ja</v>
      </c>
      <c r="O8" s="16">
        <f>'Club details'!$B$8</f>
        <v>0</v>
      </c>
      <c r="P8" s="16"/>
      <c r="Q8" s="41">
        <v>2</v>
      </c>
      <c r="R8" s="16" t="str">
        <f t="shared" ref="R8:R71" si="6">IF( ISTEXT(C8), CONCATENATE( UPPER(C8), "; ", B8), "")</f>
        <v/>
      </c>
    </row>
    <row r="9" spans="1:18" x14ac:dyDescent="0.25">
      <c r="A9" s="39">
        <v>3</v>
      </c>
      <c r="B9" s="16">
        <f>Participants!B11</f>
        <v>0</v>
      </c>
      <c r="C9" s="16">
        <f>Participants!C11</f>
        <v>0</v>
      </c>
      <c r="D9" s="16">
        <f>Participants!D11</f>
        <v>0</v>
      </c>
      <c r="E9" s="40">
        <f>Participants!$C$1</f>
        <v>0</v>
      </c>
      <c r="F9" s="16" t="str">
        <f>IF(Participants!O11="Yes","Ja",IF(Participants!O11="Partly",Participants!P11,"Nee"))</f>
        <v>Nee</v>
      </c>
      <c r="G9" s="16" t="str">
        <f>Participants!E11</f>
        <v>15+</v>
      </c>
      <c r="H9" s="16" t="str">
        <f>Participants!H11</f>
        <v>-</v>
      </c>
      <c r="I9" s="16" t="str">
        <f t="shared" si="0"/>
        <v>Ja</v>
      </c>
      <c r="J9" s="16" t="str">
        <f t="shared" si="1"/>
        <v>Ja</v>
      </c>
      <c r="K9" s="16" t="str">
        <f t="shared" si="2"/>
        <v>Ja</v>
      </c>
      <c r="L9" s="16" t="str">
        <f t="shared" si="3"/>
        <v>Ja</v>
      </c>
      <c r="M9" s="16" t="str">
        <f t="shared" si="4"/>
        <v>Ja</v>
      </c>
      <c r="N9" s="16" t="str">
        <f t="shared" si="5"/>
        <v>Ja</v>
      </c>
      <c r="O9" s="16">
        <f>'Club details'!$B$8</f>
        <v>0</v>
      </c>
      <c r="P9" s="16"/>
      <c r="Q9" s="41">
        <v>3</v>
      </c>
      <c r="R9" s="16" t="str">
        <f t="shared" si="6"/>
        <v/>
      </c>
    </row>
    <row r="10" spans="1:18" x14ac:dyDescent="0.25">
      <c r="A10" s="39">
        <v>4</v>
      </c>
      <c r="B10" s="16">
        <f>Participants!B12</f>
        <v>0</v>
      </c>
      <c r="C10" s="16">
        <f>Participants!C12</f>
        <v>0</v>
      </c>
      <c r="D10" s="16">
        <f>Participants!D12</f>
        <v>0</v>
      </c>
      <c r="E10" s="40">
        <f>Participants!$C$1</f>
        <v>0</v>
      </c>
      <c r="F10" s="16" t="str">
        <f>IF(Participants!O12="Yes","Ja",IF(Participants!O12="Partly",Participants!P12,"Nee"))</f>
        <v>Nee</v>
      </c>
      <c r="G10" s="16" t="str">
        <f>Participants!E12</f>
        <v>15+</v>
      </c>
      <c r="H10" s="16" t="str">
        <f>Participants!H12</f>
        <v>-</v>
      </c>
      <c r="I10" s="16" t="str">
        <f t="shared" si="0"/>
        <v>Ja</v>
      </c>
      <c r="J10" s="16" t="str">
        <f t="shared" si="1"/>
        <v>Ja</v>
      </c>
      <c r="K10" s="16" t="str">
        <f t="shared" si="2"/>
        <v>Ja</v>
      </c>
      <c r="L10" s="16" t="str">
        <f t="shared" si="3"/>
        <v>Ja</v>
      </c>
      <c r="M10" s="16" t="str">
        <f t="shared" si="4"/>
        <v>Ja</v>
      </c>
      <c r="N10" s="16" t="str">
        <f t="shared" si="5"/>
        <v>Ja</v>
      </c>
      <c r="O10" s="16">
        <f>'Club details'!$B$8</f>
        <v>0</v>
      </c>
      <c r="P10" s="16"/>
      <c r="Q10" s="41">
        <v>4</v>
      </c>
      <c r="R10" s="16" t="str">
        <f t="shared" si="6"/>
        <v/>
      </c>
    </row>
    <row r="11" spans="1:18" x14ac:dyDescent="0.25">
      <c r="A11" s="39">
        <v>5</v>
      </c>
      <c r="B11" s="16">
        <f>Participants!B13</f>
        <v>0</v>
      </c>
      <c r="C11" s="16">
        <f>Participants!C13</f>
        <v>0</v>
      </c>
      <c r="D11" s="16">
        <f>Participants!D13</f>
        <v>0</v>
      </c>
      <c r="E11" s="40">
        <f>Participants!$C$1</f>
        <v>0</v>
      </c>
      <c r="F11" s="16" t="str">
        <f>IF(Participants!O13="Yes","Ja",IF(Participants!O13="Partly",Participants!P13,"Nee"))</f>
        <v>Nee</v>
      </c>
      <c r="G11" s="16" t="str">
        <f>Participants!E13</f>
        <v>15+</v>
      </c>
      <c r="H11" s="16" t="str">
        <f>Participants!H13</f>
        <v>-</v>
      </c>
      <c r="I11" s="16" t="str">
        <f t="shared" si="0"/>
        <v>Ja</v>
      </c>
      <c r="J11" s="16" t="str">
        <f t="shared" si="1"/>
        <v>Ja</v>
      </c>
      <c r="K11" s="16" t="str">
        <f t="shared" si="2"/>
        <v>Ja</v>
      </c>
      <c r="L11" s="16" t="str">
        <f t="shared" si="3"/>
        <v>Ja</v>
      </c>
      <c r="M11" s="16" t="str">
        <f t="shared" si="4"/>
        <v>Ja</v>
      </c>
      <c r="N11" s="16" t="str">
        <f t="shared" si="5"/>
        <v>Ja</v>
      </c>
      <c r="O11" s="16">
        <f>'Club details'!$B$8</f>
        <v>0</v>
      </c>
      <c r="P11" s="16"/>
      <c r="Q11" s="41">
        <v>5</v>
      </c>
      <c r="R11" s="16" t="str">
        <f t="shared" si="6"/>
        <v/>
      </c>
    </row>
    <row r="12" spans="1:18" x14ac:dyDescent="0.25">
      <c r="A12" s="39">
        <v>6</v>
      </c>
      <c r="B12" s="16">
        <f>Participants!B14</f>
        <v>0</v>
      </c>
      <c r="C12" s="16">
        <f>Participants!C14</f>
        <v>0</v>
      </c>
      <c r="D12" s="16">
        <f>Participants!D14</f>
        <v>0</v>
      </c>
      <c r="E12" s="40">
        <f>Participants!$C$1</f>
        <v>0</v>
      </c>
      <c r="F12" s="16" t="str">
        <f>IF(Participants!O14="Yes","Ja",IF(Participants!O14="Partly",Participants!P14,"Nee"))</f>
        <v>Nee</v>
      </c>
      <c r="G12" s="16" t="str">
        <f>Participants!E14</f>
        <v>15+</v>
      </c>
      <c r="H12" s="16" t="str">
        <f>Participants!H14</f>
        <v>-</v>
      </c>
      <c r="I12" s="16" t="str">
        <f t="shared" si="0"/>
        <v>Ja</v>
      </c>
      <c r="J12" s="16" t="str">
        <f t="shared" si="1"/>
        <v>Ja</v>
      </c>
      <c r="K12" s="16" t="str">
        <f t="shared" si="2"/>
        <v>Ja</v>
      </c>
      <c r="L12" s="16" t="str">
        <f t="shared" si="3"/>
        <v>Ja</v>
      </c>
      <c r="M12" s="16" t="str">
        <f t="shared" si="4"/>
        <v>Ja</v>
      </c>
      <c r="N12" s="16" t="str">
        <f t="shared" si="5"/>
        <v>Ja</v>
      </c>
      <c r="O12" s="16">
        <f>'Club details'!$B$8</f>
        <v>0</v>
      </c>
      <c r="P12" s="16"/>
      <c r="Q12" s="41">
        <v>6</v>
      </c>
      <c r="R12" s="16" t="str">
        <f t="shared" si="6"/>
        <v/>
      </c>
    </row>
    <row r="13" spans="1:18" x14ac:dyDescent="0.25">
      <c r="A13" s="39">
        <v>7</v>
      </c>
      <c r="B13" s="16">
        <f>Participants!B15</f>
        <v>0</v>
      </c>
      <c r="C13" s="16">
        <f>Participants!C15</f>
        <v>0</v>
      </c>
      <c r="D13" s="16">
        <f>Participants!D15</f>
        <v>0</v>
      </c>
      <c r="E13" s="40">
        <f>Participants!$C$1</f>
        <v>0</v>
      </c>
      <c r="F13" s="16" t="str">
        <f>IF(Participants!O15="Yes","Ja",IF(Participants!O15="Partly",Participants!P15,"Nee"))</f>
        <v>Nee</v>
      </c>
      <c r="G13" s="16" t="str">
        <f>Participants!E15</f>
        <v>15+</v>
      </c>
      <c r="H13" s="16" t="str">
        <f>Participants!H15</f>
        <v>-</v>
      </c>
      <c r="I13" s="16" t="str">
        <f t="shared" si="0"/>
        <v>Ja</v>
      </c>
      <c r="J13" s="16" t="str">
        <f t="shared" si="1"/>
        <v>Ja</v>
      </c>
      <c r="K13" s="16" t="str">
        <f t="shared" si="2"/>
        <v>Ja</v>
      </c>
      <c r="L13" s="16" t="str">
        <f t="shared" si="3"/>
        <v>Ja</v>
      </c>
      <c r="M13" s="16" t="str">
        <f t="shared" si="4"/>
        <v>Ja</v>
      </c>
      <c r="N13" s="16" t="str">
        <f t="shared" si="5"/>
        <v>Ja</v>
      </c>
      <c r="O13" s="16">
        <f>'Club details'!$B$8</f>
        <v>0</v>
      </c>
      <c r="P13" s="16"/>
      <c r="Q13" s="41">
        <v>7</v>
      </c>
      <c r="R13" s="16" t="str">
        <f t="shared" si="6"/>
        <v/>
      </c>
    </row>
    <row r="14" spans="1:18" x14ac:dyDescent="0.25">
      <c r="A14" s="39">
        <v>8</v>
      </c>
      <c r="B14" s="16">
        <f>Participants!B16</f>
        <v>0</v>
      </c>
      <c r="C14" s="16">
        <f>Participants!C16</f>
        <v>0</v>
      </c>
      <c r="D14" s="16">
        <f>Participants!D16</f>
        <v>0</v>
      </c>
      <c r="E14" s="40">
        <f>Participants!$C$1</f>
        <v>0</v>
      </c>
      <c r="F14" s="16" t="str">
        <f>IF(Participants!O16="Yes","Ja",IF(Participants!O16="Partly",Participants!P16,"Nee"))</f>
        <v>Nee</v>
      </c>
      <c r="G14" s="16" t="str">
        <f>Participants!E16</f>
        <v>15+</v>
      </c>
      <c r="H14" s="16" t="str">
        <f>Participants!H16</f>
        <v>-</v>
      </c>
      <c r="I14" s="16" t="str">
        <f t="shared" si="0"/>
        <v>Ja</v>
      </c>
      <c r="J14" s="16" t="str">
        <f t="shared" si="1"/>
        <v>Ja</v>
      </c>
      <c r="K14" s="16" t="str">
        <f t="shared" si="2"/>
        <v>Ja</v>
      </c>
      <c r="L14" s="16" t="str">
        <f t="shared" si="3"/>
        <v>Ja</v>
      </c>
      <c r="M14" s="16" t="str">
        <f t="shared" si="4"/>
        <v>Ja</v>
      </c>
      <c r="N14" s="16" t="str">
        <f t="shared" si="5"/>
        <v>Ja</v>
      </c>
      <c r="O14" s="16">
        <f>'Club details'!$B$8</f>
        <v>0</v>
      </c>
      <c r="P14" s="16"/>
      <c r="Q14" s="41">
        <v>8</v>
      </c>
      <c r="R14" s="16" t="str">
        <f t="shared" si="6"/>
        <v/>
      </c>
    </row>
    <row r="15" spans="1:18" x14ac:dyDescent="0.25">
      <c r="A15" s="39">
        <v>9</v>
      </c>
      <c r="B15" s="16">
        <f>Participants!B17</f>
        <v>0</v>
      </c>
      <c r="C15" s="16">
        <f>Participants!C17</f>
        <v>0</v>
      </c>
      <c r="D15" s="16">
        <f>Participants!D17</f>
        <v>0</v>
      </c>
      <c r="E15" s="40">
        <f>Participants!$C$1</f>
        <v>0</v>
      </c>
      <c r="F15" s="16" t="str">
        <f>IF(Participants!O17="Yes","Ja",IF(Participants!O17="Partly",Participants!P17,"Nee"))</f>
        <v>Nee</v>
      </c>
      <c r="G15" s="16" t="str">
        <f>Participants!E17</f>
        <v>15+</v>
      </c>
      <c r="H15" s="16" t="str">
        <f>Participants!H17</f>
        <v>-</v>
      </c>
      <c r="I15" s="16" t="str">
        <f t="shared" si="0"/>
        <v>Ja</v>
      </c>
      <c r="J15" s="16" t="str">
        <f t="shared" si="1"/>
        <v>Ja</v>
      </c>
      <c r="K15" s="16" t="str">
        <f t="shared" si="2"/>
        <v>Ja</v>
      </c>
      <c r="L15" s="16" t="str">
        <f t="shared" si="3"/>
        <v>Ja</v>
      </c>
      <c r="M15" s="16" t="str">
        <f t="shared" si="4"/>
        <v>Ja</v>
      </c>
      <c r="N15" s="16" t="str">
        <f t="shared" si="5"/>
        <v>Ja</v>
      </c>
      <c r="O15" s="16">
        <f>'Club details'!$B$8</f>
        <v>0</v>
      </c>
      <c r="P15" s="16"/>
      <c r="Q15" s="41">
        <v>9</v>
      </c>
      <c r="R15" s="16" t="str">
        <f t="shared" si="6"/>
        <v/>
      </c>
    </row>
    <row r="16" spans="1:18" x14ac:dyDescent="0.25">
      <c r="A16" s="39">
        <v>10</v>
      </c>
      <c r="B16" s="16">
        <f>Participants!B18</f>
        <v>0</v>
      </c>
      <c r="C16" s="16">
        <f>Participants!C18</f>
        <v>0</v>
      </c>
      <c r="D16" s="16">
        <f>Participants!D18</f>
        <v>0</v>
      </c>
      <c r="E16" s="40">
        <f>Participants!$C$1</f>
        <v>0</v>
      </c>
      <c r="F16" s="16" t="str">
        <f>IF(Participants!O18="Yes","Ja",IF(Participants!O18="Partly",Participants!P18,"Nee"))</f>
        <v>Nee</v>
      </c>
      <c r="G16" s="16" t="str">
        <f>Participants!E18</f>
        <v>15+</v>
      </c>
      <c r="H16" s="16" t="str">
        <f>Participants!H18</f>
        <v>-</v>
      </c>
      <c r="I16" s="16" t="str">
        <f t="shared" si="0"/>
        <v>Ja</v>
      </c>
      <c r="J16" s="16" t="str">
        <f t="shared" si="1"/>
        <v>Ja</v>
      </c>
      <c r="K16" s="16" t="str">
        <f t="shared" si="2"/>
        <v>Ja</v>
      </c>
      <c r="L16" s="16" t="str">
        <f t="shared" si="3"/>
        <v>Ja</v>
      </c>
      <c r="M16" s="16" t="str">
        <f t="shared" si="4"/>
        <v>Ja</v>
      </c>
      <c r="N16" s="16" t="str">
        <f t="shared" si="5"/>
        <v>Ja</v>
      </c>
      <c r="O16" s="16">
        <f>'Club details'!$B$8</f>
        <v>0</v>
      </c>
      <c r="P16" s="16"/>
      <c r="Q16" s="41">
        <v>10</v>
      </c>
      <c r="R16" s="16" t="str">
        <f t="shared" si="6"/>
        <v/>
      </c>
    </row>
    <row r="17" spans="1:18" x14ac:dyDescent="0.25">
      <c r="A17" s="39">
        <v>11</v>
      </c>
      <c r="B17" s="16">
        <f>Participants!B19</f>
        <v>0</v>
      </c>
      <c r="C17" s="16">
        <f>Participants!C19</f>
        <v>0</v>
      </c>
      <c r="D17" s="16">
        <f>Participants!D19</f>
        <v>0</v>
      </c>
      <c r="E17" s="40">
        <f>Participants!$C$1</f>
        <v>0</v>
      </c>
      <c r="F17" s="16" t="str">
        <f>IF(Participants!O19="Yes","Ja",IF(Participants!O19="Partly",Participants!P19,"Nee"))</f>
        <v>Nee</v>
      </c>
      <c r="G17" s="16" t="str">
        <f>Participants!E19</f>
        <v>15+</v>
      </c>
      <c r="H17" s="16" t="str">
        <f>Participants!H19</f>
        <v>-</v>
      </c>
      <c r="I17" s="16" t="str">
        <f t="shared" si="0"/>
        <v>Ja</v>
      </c>
      <c r="J17" s="16" t="str">
        <f t="shared" si="1"/>
        <v>Ja</v>
      </c>
      <c r="K17" s="16" t="str">
        <f t="shared" si="2"/>
        <v>Ja</v>
      </c>
      <c r="L17" s="16" t="str">
        <f t="shared" si="3"/>
        <v>Ja</v>
      </c>
      <c r="M17" s="16" t="str">
        <f t="shared" si="4"/>
        <v>Ja</v>
      </c>
      <c r="N17" s="16" t="str">
        <f t="shared" si="5"/>
        <v>Ja</v>
      </c>
      <c r="O17" s="16">
        <f>'Club details'!$B$8</f>
        <v>0</v>
      </c>
      <c r="P17" s="16"/>
      <c r="Q17" s="41">
        <v>11</v>
      </c>
      <c r="R17" s="16" t="str">
        <f t="shared" si="6"/>
        <v/>
      </c>
    </row>
    <row r="18" spans="1:18" x14ac:dyDescent="0.25">
      <c r="A18" s="39">
        <v>12</v>
      </c>
      <c r="B18" s="16">
        <f>Participants!B20</f>
        <v>0</v>
      </c>
      <c r="C18" s="16">
        <f>Participants!C20</f>
        <v>0</v>
      </c>
      <c r="D18" s="16">
        <f>Participants!D20</f>
        <v>0</v>
      </c>
      <c r="E18" s="40">
        <f>Participants!$C$1</f>
        <v>0</v>
      </c>
      <c r="F18" s="16" t="str">
        <f>IF(Participants!O20="Yes","Ja",IF(Participants!O20="Partly",Participants!P20,"Nee"))</f>
        <v>Nee</v>
      </c>
      <c r="G18" s="16" t="str">
        <f>Participants!E20</f>
        <v>15+</v>
      </c>
      <c r="H18" s="16" t="str">
        <f>Participants!H20</f>
        <v>-</v>
      </c>
      <c r="I18" s="16" t="str">
        <f t="shared" si="0"/>
        <v>Ja</v>
      </c>
      <c r="J18" s="16" t="str">
        <f t="shared" si="1"/>
        <v>Ja</v>
      </c>
      <c r="K18" s="16" t="str">
        <f t="shared" si="2"/>
        <v>Ja</v>
      </c>
      <c r="L18" s="16" t="str">
        <f t="shared" si="3"/>
        <v>Ja</v>
      </c>
      <c r="M18" s="16" t="str">
        <f t="shared" si="4"/>
        <v>Ja</v>
      </c>
      <c r="N18" s="16" t="str">
        <f t="shared" si="5"/>
        <v>Ja</v>
      </c>
      <c r="O18" s="16">
        <f>'Club details'!$B$8</f>
        <v>0</v>
      </c>
      <c r="P18" s="16"/>
      <c r="Q18" s="41">
        <v>12</v>
      </c>
      <c r="R18" s="16" t="str">
        <f t="shared" si="6"/>
        <v/>
      </c>
    </row>
    <row r="19" spans="1:18" x14ac:dyDescent="0.25">
      <c r="A19" s="39">
        <v>13</v>
      </c>
      <c r="B19" s="16">
        <f>Participants!B21</f>
        <v>0</v>
      </c>
      <c r="C19" s="16">
        <f>Participants!C21</f>
        <v>0</v>
      </c>
      <c r="D19" s="16">
        <f>Participants!D21</f>
        <v>0</v>
      </c>
      <c r="E19" s="40">
        <f>Participants!$C$1</f>
        <v>0</v>
      </c>
      <c r="F19" s="16" t="str">
        <f>IF(Participants!O21="Yes","Ja",IF(Participants!O21="Partly",Participants!P21,"Nee"))</f>
        <v>Nee</v>
      </c>
      <c r="G19" s="16" t="str">
        <f>Participants!E21</f>
        <v>15+</v>
      </c>
      <c r="H19" s="16" t="str">
        <f>Participants!H21</f>
        <v>-</v>
      </c>
      <c r="I19" s="16" t="str">
        <f t="shared" si="0"/>
        <v>Ja</v>
      </c>
      <c r="J19" s="16" t="str">
        <f t="shared" si="1"/>
        <v>Ja</v>
      </c>
      <c r="K19" s="16" t="str">
        <f t="shared" si="2"/>
        <v>Ja</v>
      </c>
      <c r="L19" s="16" t="str">
        <f t="shared" si="3"/>
        <v>Ja</v>
      </c>
      <c r="M19" s="16" t="str">
        <f t="shared" si="4"/>
        <v>Ja</v>
      </c>
      <c r="N19" s="16" t="str">
        <f t="shared" si="5"/>
        <v>Ja</v>
      </c>
      <c r="O19" s="16">
        <f>'Club details'!$B$8</f>
        <v>0</v>
      </c>
      <c r="P19" s="16"/>
      <c r="Q19" s="41">
        <v>13</v>
      </c>
      <c r="R19" s="16" t="str">
        <f t="shared" si="6"/>
        <v/>
      </c>
    </row>
    <row r="20" spans="1:18" x14ac:dyDescent="0.25">
      <c r="A20" s="39">
        <v>14</v>
      </c>
      <c r="B20" s="16">
        <f>Participants!B22</f>
        <v>0</v>
      </c>
      <c r="C20" s="16">
        <f>Participants!C22</f>
        <v>0</v>
      </c>
      <c r="D20" s="16">
        <f>Participants!D22</f>
        <v>0</v>
      </c>
      <c r="E20" s="40">
        <f>Participants!$C$1</f>
        <v>0</v>
      </c>
      <c r="F20" s="16" t="str">
        <f>IF(Participants!O22="Yes","Ja",IF(Participants!O22="Partly",Participants!P22,"Nee"))</f>
        <v>Nee</v>
      </c>
      <c r="G20" s="16" t="str">
        <f>Participants!E22</f>
        <v>15+</v>
      </c>
      <c r="H20" s="16" t="str">
        <f>Participants!H22</f>
        <v>-</v>
      </c>
      <c r="I20" s="16" t="str">
        <f t="shared" si="0"/>
        <v>Ja</v>
      </c>
      <c r="J20" s="16" t="str">
        <f t="shared" si="1"/>
        <v>Ja</v>
      </c>
      <c r="K20" s="16" t="str">
        <f t="shared" si="2"/>
        <v>Ja</v>
      </c>
      <c r="L20" s="16" t="str">
        <f t="shared" si="3"/>
        <v>Ja</v>
      </c>
      <c r="M20" s="16" t="str">
        <f t="shared" si="4"/>
        <v>Ja</v>
      </c>
      <c r="N20" s="16" t="str">
        <f t="shared" si="5"/>
        <v>Ja</v>
      </c>
      <c r="O20" s="16">
        <f>'Club details'!$B$8</f>
        <v>0</v>
      </c>
      <c r="P20" s="16"/>
      <c r="Q20" s="41">
        <v>14</v>
      </c>
      <c r="R20" s="16" t="str">
        <f t="shared" si="6"/>
        <v/>
      </c>
    </row>
    <row r="21" spans="1:18" x14ac:dyDescent="0.25">
      <c r="A21" s="39">
        <v>15</v>
      </c>
      <c r="B21" s="16">
        <f>Participants!B23</f>
        <v>0</v>
      </c>
      <c r="C21" s="16">
        <f>Participants!C23</f>
        <v>0</v>
      </c>
      <c r="D21" s="16">
        <f>Participants!D23</f>
        <v>0</v>
      </c>
      <c r="E21" s="40">
        <f>Participants!$C$1</f>
        <v>0</v>
      </c>
      <c r="F21" s="16" t="str">
        <f>IF(Participants!O23="Yes","Ja",IF(Participants!O23="Partly",Participants!P23,"Nee"))</f>
        <v>Nee</v>
      </c>
      <c r="G21" s="16" t="str">
        <f>Participants!E23</f>
        <v>15+</v>
      </c>
      <c r="H21" s="16" t="str">
        <f>Participants!H23</f>
        <v>-</v>
      </c>
      <c r="I21" s="16" t="str">
        <f t="shared" si="0"/>
        <v>Ja</v>
      </c>
      <c r="J21" s="16" t="str">
        <f t="shared" si="1"/>
        <v>Ja</v>
      </c>
      <c r="K21" s="16" t="str">
        <f t="shared" si="2"/>
        <v>Ja</v>
      </c>
      <c r="L21" s="16" t="str">
        <f t="shared" si="3"/>
        <v>Ja</v>
      </c>
      <c r="M21" s="16" t="str">
        <f t="shared" si="4"/>
        <v>Ja</v>
      </c>
      <c r="N21" s="16" t="str">
        <f t="shared" si="5"/>
        <v>Ja</v>
      </c>
      <c r="O21" s="16">
        <f>'Club details'!$B$8</f>
        <v>0</v>
      </c>
      <c r="P21" s="16"/>
      <c r="Q21" s="41">
        <v>15</v>
      </c>
      <c r="R21" s="16" t="str">
        <f t="shared" si="6"/>
        <v/>
      </c>
    </row>
    <row r="22" spans="1:18" x14ac:dyDescent="0.25">
      <c r="A22" s="39">
        <v>16</v>
      </c>
      <c r="B22" s="16">
        <f>Participants!B24</f>
        <v>0</v>
      </c>
      <c r="C22" s="16">
        <f>Participants!C24</f>
        <v>0</v>
      </c>
      <c r="D22" s="16">
        <f>Participants!D24</f>
        <v>0</v>
      </c>
      <c r="E22" s="40">
        <f>Participants!$C$1</f>
        <v>0</v>
      </c>
      <c r="F22" s="16" t="str">
        <f>IF(Participants!O24="Yes","Ja",IF(Participants!O24="Partly",Participants!P24,"Nee"))</f>
        <v>Nee</v>
      </c>
      <c r="G22" s="16" t="str">
        <f>Participants!E24</f>
        <v>15+</v>
      </c>
      <c r="H22" s="16" t="str">
        <f>Participants!H24</f>
        <v>-</v>
      </c>
      <c r="I22" s="16" t="str">
        <f t="shared" si="0"/>
        <v>Ja</v>
      </c>
      <c r="J22" s="16" t="str">
        <f t="shared" si="1"/>
        <v>Ja</v>
      </c>
      <c r="K22" s="16" t="str">
        <f t="shared" si="2"/>
        <v>Ja</v>
      </c>
      <c r="L22" s="16" t="str">
        <f t="shared" si="3"/>
        <v>Ja</v>
      </c>
      <c r="M22" s="16" t="str">
        <f t="shared" si="4"/>
        <v>Ja</v>
      </c>
      <c r="N22" s="16" t="str">
        <f t="shared" si="5"/>
        <v>Ja</v>
      </c>
      <c r="O22" s="16">
        <f>'Club details'!$B$8</f>
        <v>0</v>
      </c>
      <c r="P22" s="16"/>
      <c r="Q22" s="41">
        <v>16</v>
      </c>
      <c r="R22" s="16" t="str">
        <f t="shared" si="6"/>
        <v/>
      </c>
    </row>
    <row r="23" spans="1:18" x14ac:dyDescent="0.25">
      <c r="A23" s="39">
        <v>17</v>
      </c>
      <c r="B23" s="16">
        <f>Participants!B25</f>
        <v>0</v>
      </c>
      <c r="C23" s="16">
        <f>Participants!C25</f>
        <v>0</v>
      </c>
      <c r="D23" s="16">
        <f>Participants!D25</f>
        <v>0</v>
      </c>
      <c r="E23" s="40">
        <f>Participants!$C$1</f>
        <v>0</v>
      </c>
      <c r="F23" s="16" t="str">
        <f>IF(Participants!O25="Yes","Ja",IF(Participants!O25="Partly",Participants!P25,"Nee"))</f>
        <v>Nee</v>
      </c>
      <c r="G23" s="16" t="str">
        <f>Participants!E25</f>
        <v>15+</v>
      </c>
      <c r="H23" s="16" t="str">
        <f>Participants!H25</f>
        <v>-</v>
      </c>
      <c r="I23" s="16" t="str">
        <f t="shared" si="0"/>
        <v>Ja</v>
      </c>
      <c r="J23" s="16" t="str">
        <f t="shared" si="1"/>
        <v>Ja</v>
      </c>
      <c r="K23" s="16" t="str">
        <f t="shared" si="2"/>
        <v>Ja</v>
      </c>
      <c r="L23" s="16" t="str">
        <f t="shared" si="3"/>
        <v>Ja</v>
      </c>
      <c r="M23" s="16" t="str">
        <f t="shared" si="4"/>
        <v>Ja</v>
      </c>
      <c r="N23" s="16" t="str">
        <f t="shared" si="5"/>
        <v>Ja</v>
      </c>
      <c r="O23" s="16">
        <f>'Club details'!$B$8</f>
        <v>0</v>
      </c>
      <c r="P23" s="16"/>
      <c r="Q23" s="41">
        <v>17</v>
      </c>
      <c r="R23" s="16" t="str">
        <f t="shared" si="6"/>
        <v/>
      </c>
    </row>
    <row r="24" spans="1:18" x14ac:dyDescent="0.25">
      <c r="A24" s="39">
        <v>18</v>
      </c>
      <c r="B24" s="16">
        <f>Participants!B26</f>
        <v>0</v>
      </c>
      <c r="C24" s="16">
        <f>Participants!C26</f>
        <v>0</v>
      </c>
      <c r="D24" s="16">
        <f>Participants!D26</f>
        <v>0</v>
      </c>
      <c r="E24" s="40">
        <f>Participants!$C$1</f>
        <v>0</v>
      </c>
      <c r="F24" s="16" t="str">
        <f>IF(Participants!O26="Yes","Ja",IF(Participants!O26="Partly",Participants!P26,"Nee"))</f>
        <v>Nee</v>
      </c>
      <c r="G24" s="16" t="str">
        <f>Participants!E26</f>
        <v>15+</v>
      </c>
      <c r="H24" s="16" t="str">
        <f>Participants!H26</f>
        <v>-</v>
      </c>
      <c r="I24" s="16" t="str">
        <f t="shared" si="0"/>
        <v>Ja</v>
      </c>
      <c r="J24" s="16" t="str">
        <f t="shared" si="1"/>
        <v>Ja</v>
      </c>
      <c r="K24" s="16" t="str">
        <f t="shared" si="2"/>
        <v>Ja</v>
      </c>
      <c r="L24" s="16" t="str">
        <f t="shared" si="3"/>
        <v>Ja</v>
      </c>
      <c r="M24" s="16" t="str">
        <f t="shared" si="4"/>
        <v>Ja</v>
      </c>
      <c r="N24" s="16" t="str">
        <f t="shared" si="5"/>
        <v>Ja</v>
      </c>
      <c r="O24" s="16">
        <f>'Club details'!$B$8</f>
        <v>0</v>
      </c>
      <c r="P24" s="16"/>
      <c r="Q24" s="41">
        <v>18</v>
      </c>
      <c r="R24" s="16" t="str">
        <f t="shared" si="6"/>
        <v/>
      </c>
    </row>
    <row r="25" spans="1:18" x14ac:dyDescent="0.25">
      <c r="A25" s="39">
        <v>19</v>
      </c>
      <c r="B25" s="16">
        <f>Participants!B27</f>
        <v>0</v>
      </c>
      <c r="C25" s="16">
        <f>Participants!C27</f>
        <v>0</v>
      </c>
      <c r="D25" s="16">
        <f>Participants!D27</f>
        <v>0</v>
      </c>
      <c r="E25" s="40">
        <f>Participants!$C$1</f>
        <v>0</v>
      </c>
      <c r="F25" s="16" t="str">
        <f>IF(Participants!O27="Yes","Ja",IF(Participants!O27="Partly",Participants!P27,"Nee"))</f>
        <v>Nee</v>
      </c>
      <c r="G25" s="16" t="str">
        <f>Participants!E27</f>
        <v>15+</v>
      </c>
      <c r="H25" s="16" t="str">
        <f>Participants!H27</f>
        <v>-</v>
      </c>
      <c r="I25" s="16" t="str">
        <f t="shared" si="0"/>
        <v>Ja</v>
      </c>
      <c r="J25" s="16" t="str">
        <f t="shared" si="1"/>
        <v>Ja</v>
      </c>
      <c r="K25" s="16" t="str">
        <f t="shared" si="2"/>
        <v>Ja</v>
      </c>
      <c r="L25" s="16" t="str">
        <f t="shared" si="3"/>
        <v>Ja</v>
      </c>
      <c r="M25" s="16" t="str">
        <f t="shared" si="4"/>
        <v>Ja</v>
      </c>
      <c r="N25" s="16" t="str">
        <f t="shared" si="5"/>
        <v>Ja</v>
      </c>
      <c r="O25" s="16">
        <f>'Club details'!$B$8</f>
        <v>0</v>
      </c>
      <c r="P25" s="16"/>
      <c r="Q25" s="41">
        <v>19</v>
      </c>
      <c r="R25" s="16" t="str">
        <f t="shared" si="6"/>
        <v/>
      </c>
    </row>
    <row r="26" spans="1:18" x14ac:dyDescent="0.25">
      <c r="A26" s="39">
        <v>20</v>
      </c>
      <c r="B26" s="16">
        <f>Participants!B28</f>
        <v>0</v>
      </c>
      <c r="C26" s="16">
        <f>Participants!C28</f>
        <v>0</v>
      </c>
      <c r="D26" s="16">
        <f>Participants!D28</f>
        <v>0</v>
      </c>
      <c r="E26" s="40">
        <f>Participants!$C$1</f>
        <v>0</v>
      </c>
      <c r="F26" s="16" t="str">
        <f>IF(Participants!O28="Yes","Ja",IF(Participants!O28="Partly",Participants!P28,"Nee"))</f>
        <v>Nee</v>
      </c>
      <c r="G26" s="16" t="str">
        <f>Participants!E28</f>
        <v>15+</v>
      </c>
      <c r="H26" s="16" t="str">
        <f>Participants!H28</f>
        <v>-</v>
      </c>
      <c r="I26" s="16" t="str">
        <f t="shared" si="0"/>
        <v>Ja</v>
      </c>
      <c r="J26" s="16" t="str">
        <f t="shared" si="1"/>
        <v>Ja</v>
      </c>
      <c r="K26" s="16" t="str">
        <f t="shared" si="2"/>
        <v>Ja</v>
      </c>
      <c r="L26" s="16" t="str">
        <f t="shared" si="3"/>
        <v>Ja</v>
      </c>
      <c r="M26" s="16" t="str">
        <f t="shared" si="4"/>
        <v>Ja</v>
      </c>
      <c r="N26" s="16" t="str">
        <f t="shared" si="5"/>
        <v>Ja</v>
      </c>
      <c r="O26" s="16">
        <f>'Club details'!$B$8</f>
        <v>0</v>
      </c>
      <c r="P26" s="16"/>
      <c r="Q26" s="41">
        <v>20</v>
      </c>
      <c r="R26" s="16" t="str">
        <f t="shared" si="6"/>
        <v/>
      </c>
    </row>
    <row r="27" spans="1:18" x14ac:dyDescent="0.25">
      <c r="A27" s="39">
        <v>21</v>
      </c>
      <c r="B27" s="16">
        <f>Participants!B29</f>
        <v>0</v>
      </c>
      <c r="C27" s="16">
        <f>Participants!C29</f>
        <v>0</v>
      </c>
      <c r="D27" s="16">
        <f>Participants!D29</f>
        <v>0</v>
      </c>
      <c r="E27" s="40">
        <f>Participants!$C$1</f>
        <v>0</v>
      </c>
      <c r="F27" s="16" t="str">
        <f>IF(Participants!O29="Yes","Ja",IF(Participants!O29="Partly",Participants!P29,"Nee"))</f>
        <v>Nee</v>
      </c>
      <c r="G27" s="16" t="str">
        <f>Participants!E29</f>
        <v>15+</v>
      </c>
      <c r="H27" s="16" t="str">
        <f>Participants!H29</f>
        <v>-</v>
      </c>
      <c r="I27" s="16" t="str">
        <f t="shared" si="0"/>
        <v>Ja</v>
      </c>
      <c r="J27" s="16" t="str">
        <f t="shared" si="1"/>
        <v>Ja</v>
      </c>
      <c r="K27" s="16" t="str">
        <f t="shared" si="2"/>
        <v>Ja</v>
      </c>
      <c r="L27" s="16" t="str">
        <f t="shared" si="3"/>
        <v>Ja</v>
      </c>
      <c r="M27" s="16" t="str">
        <f t="shared" si="4"/>
        <v>Ja</v>
      </c>
      <c r="N27" s="16" t="str">
        <f t="shared" si="5"/>
        <v>Ja</v>
      </c>
      <c r="O27" s="16">
        <f>'Club details'!$B$8</f>
        <v>0</v>
      </c>
      <c r="P27" s="16"/>
      <c r="Q27" s="41">
        <v>21</v>
      </c>
      <c r="R27" s="16" t="str">
        <f t="shared" si="6"/>
        <v/>
      </c>
    </row>
    <row r="28" spans="1:18" x14ac:dyDescent="0.25">
      <c r="A28" s="39">
        <v>22</v>
      </c>
      <c r="B28" s="16">
        <f>Participants!B30</f>
        <v>0</v>
      </c>
      <c r="C28" s="16">
        <f>Participants!C30</f>
        <v>0</v>
      </c>
      <c r="D28" s="16">
        <f>Participants!D30</f>
        <v>0</v>
      </c>
      <c r="E28" s="40">
        <f>Participants!$C$1</f>
        <v>0</v>
      </c>
      <c r="F28" s="16" t="str">
        <f>IF(Participants!O30="Yes","Ja",IF(Participants!O30="Partly",Participants!P30,"Nee"))</f>
        <v>Nee</v>
      </c>
      <c r="G28" s="16" t="str">
        <f>Participants!E30</f>
        <v>15+</v>
      </c>
      <c r="H28" s="16" t="str">
        <f>Participants!H30</f>
        <v>-</v>
      </c>
      <c r="I28" s="16" t="str">
        <f t="shared" si="0"/>
        <v>Ja</v>
      </c>
      <c r="J28" s="16" t="str">
        <f t="shared" si="1"/>
        <v>Ja</v>
      </c>
      <c r="K28" s="16" t="str">
        <f t="shared" si="2"/>
        <v>Ja</v>
      </c>
      <c r="L28" s="16" t="str">
        <f t="shared" si="3"/>
        <v>Ja</v>
      </c>
      <c r="M28" s="16" t="str">
        <f t="shared" si="4"/>
        <v>Ja</v>
      </c>
      <c r="N28" s="16" t="str">
        <f t="shared" si="5"/>
        <v>Ja</v>
      </c>
      <c r="O28" s="16">
        <f>'Club details'!$B$8</f>
        <v>0</v>
      </c>
      <c r="P28" s="16"/>
      <c r="Q28" s="41">
        <v>22</v>
      </c>
      <c r="R28" s="16" t="str">
        <f t="shared" si="6"/>
        <v/>
      </c>
    </row>
    <row r="29" spans="1:18" x14ac:dyDescent="0.25">
      <c r="A29" s="39">
        <v>23</v>
      </c>
      <c r="B29" s="16">
        <f>Participants!B31</f>
        <v>0</v>
      </c>
      <c r="C29" s="16">
        <f>Participants!C31</f>
        <v>0</v>
      </c>
      <c r="D29" s="16">
        <f>Participants!D31</f>
        <v>0</v>
      </c>
      <c r="E29" s="40">
        <f>Participants!$C$1</f>
        <v>0</v>
      </c>
      <c r="F29" s="16" t="str">
        <f>IF(Participants!O31="Yes","Ja",IF(Participants!O31="Partly",Participants!P31,"Nee"))</f>
        <v>Nee</v>
      </c>
      <c r="G29" s="16" t="str">
        <f>Participants!E31</f>
        <v>15+</v>
      </c>
      <c r="H29" s="16" t="str">
        <f>Participants!H31</f>
        <v>-</v>
      </c>
      <c r="I29" s="16" t="str">
        <f t="shared" si="0"/>
        <v>Ja</v>
      </c>
      <c r="J29" s="16" t="str">
        <f t="shared" si="1"/>
        <v>Ja</v>
      </c>
      <c r="K29" s="16" t="str">
        <f t="shared" si="2"/>
        <v>Ja</v>
      </c>
      <c r="L29" s="16" t="str">
        <f t="shared" si="3"/>
        <v>Ja</v>
      </c>
      <c r="M29" s="16" t="str">
        <f t="shared" si="4"/>
        <v>Ja</v>
      </c>
      <c r="N29" s="16" t="str">
        <f t="shared" si="5"/>
        <v>Ja</v>
      </c>
      <c r="O29" s="16">
        <f>'Club details'!$B$8</f>
        <v>0</v>
      </c>
      <c r="P29" s="16"/>
      <c r="Q29" s="41">
        <v>23</v>
      </c>
      <c r="R29" s="16" t="str">
        <f t="shared" si="6"/>
        <v/>
      </c>
    </row>
    <row r="30" spans="1:18" x14ac:dyDescent="0.25">
      <c r="A30" s="39">
        <v>24</v>
      </c>
      <c r="B30" s="16">
        <f>Participants!B32</f>
        <v>0</v>
      </c>
      <c r="C30" s="16">
        <f>Participants!C32</f>
        <v>0</v>
      </c>
      <c r="D30" s="16">
        <f>Participants!D32</f>
        <v>0</v>
      </c>
      <c r="E30" s="40">
        <f>Participants!$C$1</f>
        <v>0</v>
      </c>
      <c r="F30" s="16" t="str">
        <f>IF(Participants!O32="Yes","Ja",IF(Participants!O32="Partly",Participants!P32,"Nee"))</f>
        <v>Nee</v>
      </c>
      <c r="G30" s="16" t="str">
        <f>Participants!E32</f>
        <v>15+</v>
      </c>
      <c r="H30" s="16" t="str">
        <f>Participants!H32</f>
        <v>-</v>
      </c>
      <c r="I30" s="16" t="str">
        <f t="shared" si="0"/>
        <v>Ja</v>
      </c>
      <c r="J30" s="16" t="str">
        <f t="shared" si="1"/>
        <v>Ja</v>
      </c>
      <c r="K30" s="16" t="str">
        <f t="shared" si="2"/>
        <v>Ja</v>
      </c>
      <c r="L30" s="16" t="str">
        <f t="shared" si="3"/>
        <v>Ja</v>
      </c>
      <c r="M30" s="16" t="str">
        <f t="shared" si="4"/>
        <v>Ja</v>
      </c>
      <c r="N30" s="16" t="str">
        <f t="shared" si="5"/>
        <v>Ja</v>
      </c>
      <c r="O30" s="16">
        <f>'Club details'!$B$8</f>
        <v>0</v>
      </c>
      <c r="P30" s="16"/>
      <c r="Q30" s="41">
        <v>24</v>
      </c>
      <c r="R30" s="16" t="str">
        <f t="shared" si="6"/>
        <v/>
      </c>
    </row>
    <row r="31" spans="1:18" x14ac:dyDescent="0.25">
      <c r="A31" s="39">
        <v>25</v>
      </c>
      <c r="B31" s="16">
        <f>Participants!B33</f>
        <v>0</v>
      </c>
      <c r="C31" s="16">
        <f>Participants!C33</f>
        <v>0</v>
      </c>
      <c r="D31" s="16">
        <f>Participants!D33</f>
        <v>0</v>
      </c>
      <c r="E31" s="40">
        <f>Participants!$C$1</f>
        <v>0</v>
      </c>
      <c r="F31" s="16" t="str">
        <f>IF(Participants!O33="Yes","Ja",IF(Participants!O33="Partly",Participants!P33,"Nee"))</f>
        <v>Nee</v>
      </c>
      <c r="G31" s="16" t="str">
        <f>Participants!E33</f>
        <v>15+</v>
      </c>
      <c r="H31" s="16" t="str">
        <f>Participants!H33</f>
        <v>-</v>
      </c>
      <c r="I31" s="16" t="str">
        <f t="shared" si="0"/>
        <v>Ja</v>
      </c>
      <c r="J31" s="16" t="str">
        <f t="shared" si="1"/>
        <v>Ja</v>
      </c>
      <c r="K31" s="16" t="str">
        <f t="shared" si="2"/>
        <v>Ja</v>
      </c>
      <c r="L31" s="16" t="str">
        <f t="shared" si="3"/>
        <v>Ja</v>
      </c>
      <c r="M31" s="16" t="str">
        <f t="shared" si="4"/>
        <v>Ja</v>
      </c>
      <c r="N31" s="16" t="str">
        <f t="shared" si="5"/>
        <v>Ja</v>
      </c>
      <c r="O31" s="16">
        <f>'Club details'!$B$8</f>
        <v>0</v>
      </c>
      <c r="P31" s="16"/>
      <c r="Q31" s="41">
        <v>25</v>
      </c>
      <c r="R31" s="16" t="str">
        <f t="shared" si="6"/>
        <v/>
      </c>
    </row>
    <row r="32" spans="1:18" x14ac:dyDescent="0.25">
      <c r="A32" s="39">
        <v>26</v>
      </c>
      <c r="B32" s="16">
        <f>Participants!B34</f>
        <v>0</v>
      </c>
      <c r="C32" s="16">
        <f>Participants!C34</f>
        <v>0</v>
      </c>
      <c r="D32" s="16">
        <f>Participants!D34</f>
        <v>0</v>
      </c>
      <c r="E32" s="40">
        <f>Participants!$C$1</f>
        <v>0</v>
      </c>
      <c r="F32" s="16" t="str">
        <f>IF(Participants!O34="Yes","Ja",IF(Participants!O34="Partly",Participants!P34,"Nee"))</f>
        <v>Nee</v>
      </c>
      <c r="G32" s="16" t="str">
        <f>Participants!E34</f>
        <v>15+</v>
      </c>
      <c r="H32" s="16" t="str">
        <f>Participants!H34</f>
        <v>-</v>
      </c>
      <c r="I32" s="16" t="str">
        <f t="shared" si="0"/>
        <v>Ja</v>
      </c>
      <c r="J32" s="16" t="str">
        <f t="shared" si="1"/>
        <v>Ja</v>
      </c>
      <c r="K32" s="16" t="str">
        <f t="shared" si="2"/>
        <v>Ja</v>
      </c>
      <c r="L32" s="16" t="str">
        <f t="shared" si="3"/>
        <v>Ja</v>
      </c>
      <c r="M32" s="16" t="str">
        <f t="shared" si="4"/>
        <v>Ja</v>
      </c>
      <c r="N32" s="16" t="str">
        <f t="shared" si="5"/>
        <v>Ja</v>
      </c>
      <c r="O32" s="16">
        <f>'Club details'!$B$8</f>
        <v>0</v>
      </c>
      <c r="P32" s="16"/>
      <c r="Q32" s="41">
        <v>26</v>
      </c>
      <c r="R32" s="16" t="str">
        <f t="shared" si="6"/>
        <v/>
      </c>
    </row>
    <row r="33" spans="1:18" x14ac:dyDescent="0.25">
      <c r="A33" s="39">
        <v>27</v>
      </c>
      <c r="B33" s="16">
        <f>Participants!B35</f>
        <v>0</v>
      </c>
      <c r="C33" s="16">
        <f>Participants!C35</f>
        <v>0</v>
      </c>
      <c r="D33" s="16">
        <f>Participants!D35</f>
        <v>0</v>
      </c>
      <c r="E33" s="40">
        <f>Participants!$C$1</f>
        <v>0</v>
      </c>
      <c r="F33" s="16" t="str">
        <f>IF(Participants!O35="Yes","Ja",IF(Participants!O35="Partly",Participants!P35,"Nee"))</f>
        <v>Nee</v>
      </c>
      <c r="G33" s="16" t="str">
        <f>Participants!E35</f>
        <v>15+</v>
      </c>
      <c r="H33" s="16" t="str">
        <f>Participants!H35</f>
        <v>-</v>
      </c>
      <c r="I33" s="16" t="str">
        <f t="shared" si="0"/>
        <v>Ja</v>
      </c>
      <c r="J33" s="16" t="str">
        <f t="shared" si="1"/>
        <v>Ja</v>
      </c>
      <c r="K33" s="16" t="str">
        <f t="shared" si="2"/>
        <v>Ja</v>
      </c>
      <c r="L33" s="16" t="str">
        <f t="shared" si="3"/>
        <v>Ja</v>
      </c>
      <c r="M33" s="16" t="str">
        <f t="shared" si="4"/>
        <v>Ja</v>
      </c>
      <c r="N33" s="16" t="str">
        <f t="shared" si="5"/>
        <v>Ja</v>
      </c>
      <c r="O33" s="16">
        <f>'Club details'!$B$8</f>
        <v>0</v>
      </c>
      <c r="P33" s="16"/>
      <c r="Q33" s="41">
        <v>27</v>
      </c>
      <c r="R33" s="16" t="str">
        <f t="shared" si="6"/>
        <v/>
      </c>
    </row>
    <row r="34" spans="1:18" x14ac:dyDescent="0.25">
      <c r="A34" s="39">
        <v>28</v>
      </c>
      <c r="B34" s="16">
        <f>Participants!B36</f>
        <v>0</v>
      </c>
      <c r="C34" s="16">
        <f>Participants!C36</f>
        <v>0</v>
      </c>
      <c r="D34" s="16">
        <f>Participants!D36</f>
        <v>0</v>
      </c>
      <c r="E34" s="40">
        <f>Participants!$C$1</f>
        <v>0</v>
      </c>
      <c r="F34" s="16" t="str">
        <f>IF(Participants!O36="Yes","Ja",IF(Participants!O36="Partly",Participants!P36,"Nee"))</f>
        <v>Nee</v>
      </c>
      <c r="G34" s="16" t="str">
        <f>Participants!E36</f>
        <v>15+</v>
      </c>
      <c r="H34" s="16" t="str">
        <f>Participants!H36</f>
        <v>-</v>
      </c>
      <c r="I34" s="16" t="str">
        <f t="shared" si="0"/>
        <v>Ja</v>
      </c>
      <c r="J34" s="16" t="str">
        <f t="shared" si="1"/>
        <v>Ja</v>
      </c>
      <c r="K34" s="16" t="str">
        <f t="shared" si="2"/>
        <v>Ja</v>
      </c>
      <c r="L34" s="16" t="str">
        <f t="shared" si="3"/>
        <v>Ja</v>
      </c>
      <c r="M34" s="16" t="str">
        <f t="shared" si="4"/>
        <v>Ja</v>
      </c>
      <c r="N34" s="16" t="str">
        <f t="shared" si="5"/>
        <v>Ja</v>
      </c>
      <c r="O34" s="16">
        <f>'Club details'!$B$8</f>
        <v>0</v>
      </c>
      <c r="P34" s="16"/>
      <c r="Q34" s="41">
        <v>28</v>
      </c>
      <c r="R34" s="16" t="str">
        <f t="shared" si="6"/>
        <v/>
      </c>
    </row>
    <row r="35" spans="1:18" x14ac:dyDescent="0.25">
      <c r="A35" s="39">
        <v>29</v>
      </c>
      <c r="B35" s="16">
        <f>Participants!B37</f>
        <v>0</v>
      </c>
      <c r="C35" s="16">
        <f>Participants!C37</f>
        <v>0</v>
      </c>
      <c r="D35" s="16">
        <f>Participants!D37</f>
        <v>0</v>
      </c>
      <c r="E35" s="40">
        <f>Participants!$C$1</f>
        <v>0</v>
      </c>
      <c r="F35" s="16" t="str">
        <f>IF(Participants!O37="Yes","Ja",IF(Participants!O37="Partly",Participants!P37,"Nee"))</f>
        <v>Nee</v>
      </c>
      <c r="G35" s="16" t="str">
        <f>Participants!E37</f>
        <v>15+</v>
      </c>
      <c r="H35" s="16" t="str">
        <f>Participants!H37</f>
        <v>-</v>
      </c>
      <c r="I35" s="16" t="str">
        <f t="shared" si="0"/>
        <v>Ja</v>
      </c>
      <c r="J35" s="16" t="str">
        <f t="shared" si="1"/>
        <v>Ja</v>
      </c>
      <c r="K35" s="16" t="str">
        <f t="shared" si="2"/>
        <v>Ja</v>
      </c>
      <c r="L35" s="16" t="str">
        <f t="shared" si="3"/>
        <v>Ja</v>
      </c>
      <c r="M35" s="16" t="str">
        <f t="shared" si="4"/>
        <v>Ja</v>
      </c>
      <c r="N35" s="16" t="str">
        <f t="shared" si="5"/>
        <v>Ja</v>
      </c>
      <c r="O35" s="16">
        <f>'Club details'!$B$8</f>
        <v>0</v>
      </c>
      <c r="P35" s="16"/>
      <c r="Q35" s="41">
        <v>29</v>
      </c>
      <c r="R35" s="16" t="str">
        <f t="shared" si="6"/>
        <v/>
      </c>
    </row>
    <row r="36" spans="1:18" x14ac:dyDescent="0.25">
      <c r="A36" s="39">
        <v>30</v>
      </c>
      <c r="B36" s="16">
        <f>Participants!B38</f>
        <v>0</v>
      </c>
      <c r="C36" s="16">
        <f>Participants!C38</f>
        <v>0</v>
      </c>
      <c r="D36" s="16">
        <f>Participants!D38</f>
        <v>0</v>
      </c>
      <c r="E36" s="40">
        <f>Participants!$C$1</f>
        <v>0</v>
      </c>
      <c r="F36" s="16" t="str">
        <f>IF(Participants!O38="Yes","Ja",IF(Participants!O38="Partly",Participants!P38,"Nee"))</f>
        <v>Nee</v>
      </c>
      <c r="G36" s="16" t="str">
        <f>Participants!E38</f>
        <v>15+</v>
      </c>
      <c r="H36" s="16" t="str">
        <f>Participants!H38</f>
        <v>-</v>
      </c>
      <c r="I36" s="16" t="str">
        <f t="shared" si="0"/>
        <v>Ja</v>
      </c>
      <c r="J36" s="16" t="str">
        <f t="shared" si="1"/>
        <v>Ja</v>
      </c>
      <c r="K36" s="16" t="str">
        <f t="shared" si="2"/>
        <v>Ja</v>
      </c>
      <c r="L36" s="16" t="str">
        <f t="shared" si="3"/>
        <v>Ja</v>
      </c>
      <c r="M36" s="16" t="str">
        <f t="shared" si="4"/>
        <v>Ja</v>
      </c>
      <c r="N36" s="16" t="str">
        <f t="shared" si="5"/>
        <v>Ja</v>
      </c>
      <c r="O36" s="16">
        <f>'Club details'!$B$8</f>
        <v>0</v>
      </c>
      <c r="P36" s="16"/>
      <c r="Q36" s="41">
        <v>30</v>
      </c>
      <c r="R36" s="16" t="str">
        <f t="shared" si="6"/>
        <v/>
      </c>
    </row>
    <row r="37" spans="1:18" x14ac:dyDescent="0.25">
      <c r="A37" s="39">
        <v>31</v>
      </c>
      <c r="B37" s="16">
        <f>Participants!B39</f>
        <v>0</v>
      </c>
      <c r="C37" s="16">
        <f>Participants!C39</f>
        <v>0</v>
      </c>
      <c r="D37" s="16">
        <f>Participants!D39</f>
        <v>0</v>
      </c>
      <c r="E37" s="40">
        <f>Participants!$C$1</f>
        <v>0</v>
      </c>
      <c r="F37" s="16" t="str">
        <f>IF(Participants!O39="Yes","Ja",IF(Participants!O39="Partly",Participants!P39,"Nee"))</f>
        <v>Nee</v>
      </c>
      <c r="G37" s="16" t="str">
        <f>Participants!E39</f>
        <v>15+</v>
      </c>
      <c r="H37" s="16" t="str">
        <f>Participants!H39</f>
        <v>-</v>
      </c>
      <c r="I37" s="16" t="str">
        <f t="shared" si="0"/>
        <v>Ja</v>
      </c>
      <c r="J37" s="16" t="str">
        <f t="shared" si="1"/>
        <v>Ja</v>
      </c>
      <c r="K37" s="16" t="str">
        <f t="shared" si="2"/>
        <v>Ja</v>
      </c>
      <c r="L37" s="16" t="str">
        <f t="shared" si="3"/>
        <v>Ja</v>
      </c>
      <c r="M37" s="16" t="str">
        <f t="shared" si="4"/>
        <v>Ja</v>
      </c>
      <c r="N37" s="16" t="str">
        <f t="shared" si="5"/>
        <v>Ja</v>
      </c>
      <c r="O37" s="16">
        <f>'Club details'!$B$8</f>
        <v>0</v>
      </c>
      <c r="P37" s="16"/>
      <c r="Q37" s="41">
        <v>31</v>
      </c>
      <c r="R37" s="16" t="str">
        <f t="shared" si="6"/>
        <v/>
      </c>
    </row>
    <row r="38" spans="1:18" x14ac:dyDescent="0.25">
      <c r="A38" s="39">
        <v>32</v>
      </c>
      <c r="B38" s="16">
        <f>Participants!B40</f>
        <v>0</v>
      </c>
      <c r="C38" s="16">
        <f>Participants!C40</f>
        <v>0</v>
      </c>
      <c r="D38" s="16">
        <f>Participants!D40</f>
        <v>0</v>
      </c>
      <c r="E38" s="40">
        <f>Participants!$C$1</f>
        <v>0</v>
      </c>
      <c r="F38" s="16" t="str">
        <f>IF(Participants!O40="Yes","Ja",IF(Participants!O40="Partly",Participants!P40,"Nee"))</f>
        <v>Nee</v>
      </c>
      <c r="G38" s="16" t="str">
        <f>Participants!E40</f>
        <v>15+</v>
      </c>
      <c r="H38" s="16" t="str">
        <f>Participants!H40</f>
        <v>-</v>
      </c>
      <c r="I38" s="16" t="str">
        <f t="shared" si="0"/>
        <v>Ja</v>
      </c>
      <c r="J38" s="16" t="str">
        <f t="shared" si="1"/>
        <v>Ja</v>
      </c>
      <c r="K38" s="16" t="str">
        <f t="shared" si="2"/>
        <v>Ja</v>
      </c>
      <c r="L38" s="16" t="str">
        <f t="shared" si="3"/>
        <v>Ja</v>
      </c>
      <c r="M38" s="16" t="str">
        <f t="shared" si="4"/>
        <v>Ja</v>
      </c>
      <c r="N38" s="16" t="str">
        <f t="shared" si="5"/>
        <v>Ja</v>
      </c>
      <c r="O38" s="16">
        <f>'Club details'!$B$8</f>
        <v>0</v>
      </c>
      <c r="P38" s="16"/>
      <c r="Q38" s="41">
        <v>32</v>
      </c>
      <c r="R38" s="16" t="str">
        <f t="shared" si="6"/>
        <v/>
      </c>
    </row>
    <row r="39" spans="1:18" x14ac:dyDescent="0.25">
      <c r="A39" s="39">
        <v>33</v>
      </c>
      <c r="B39" s="16">
        <f>Participants!B41</f>
        <v>0</v>
      </c>
      <c r="C39" s="16">
        <f>Participants!C41</f>
        <v>0</v>
      </c>
      <c r="D39" s="16">
        <f>Participants!D41</f>
        <v>0</v>
      </c>
      <c r="E39" s="40">
        <f>Participants!$C$1</f>
        <v>0</v>
      </c>
      <c r="F39" s="16" t="str">
        <f>IF(Participants!O41="Yes","Ja",IF(Participants!O41="Partly",Participants!P41,"Nee"))</f>
        <v>Nee</v>
      </c>
      <c r="G39" s="16" t="str">
        <f>Participants!E41</f>
        <v>15+</v>
      </c>
      <c r="H39" s="16" t="str">
        <f>Participants!H41</f>
        <v>-</v>
      </c>
      <c r="I39" s="16" t="str">
        <f t="shared" si="0"/>
        <v>Ja</v>
      </c>
      <c r="J39" s="16" t="str">
        <f t="shared" si="1"/>
        <v>Ja</v>
      </c>
      <c r="K39" s="16" t="str">
        <f t="shared" si="2"/>
        <v>Ja</v>
      </c>
      <c r="L39" s="16" t="str">
        <f t="shared" si="3"/>
        <v>Ja</v>
      </c>
      <c r="M39" s="16" t="str">
        <f t="shared" si="4"/>
        <v>Ja</v>
      </c>
      <c r="N39" s="16" t="str">
        <f t="shared" si="5"/>
        <v>Ja</v>
      </c>
      <c r="O39" s="16">
        <f>'Club details'!$B$8</f>
        <v>0</v>
      </c>
      <c r="P39" s="16"/>
      <c r="Q39" s="41">
        <v>33</v>
      </c>
      <c r="R39" s="16" t="str">
        <f t="shared" si="6"/>
        <v/>
      </c>
    </row>
    <row r="40" spans="1:18" x14ac:dyDescent="0.25">
      <c r="A40" s="39">
        <v>34</v>
      </c>
      <c r="B40" s="16">
        <f>Participants!B42</f>
        <v>0</v>
      </c>
      <c r="C40" s="16">
        <f>Participants!C42</f>
        <v>0</v>
      </c>
      <c r="D40" s="16">
        <f>Participants!D42</f>
        <v>0</v>
      </c>
      <c r="E40" s="40">
        <f>Participants!$C$1</f>
        <v>0</v>
      </c>
      <c r="F40" s="16" t="str">
        <f>IF(Participants!O42="Yes","Ja",IF(Participants!O42="Partly",Participants!P42,"Nee"))</f>
        <v>Nee</v>
      </c>
      <c r="G40" s="16" t="str">
        <f>Participants!E42</f>
        <v>15+</v>
      </c>
      <c r="H40" s="16" t="str">
        <f>Participants!H42</f>
        <v>-</v>
      </c>
      <c r="I40" s="16" t="str">
        <f t="shared" si="0"/>
        <v>Ja</v>
      </c>
      <c r="J40" s="16" t="str">
        <f t="shared" si="1"/>
        <v>Ja</v>
      </c>
      <c r="K40" s="16" t="str">
        <f t="shared" si="2"/>
        <v>Ja</v>
      </c>
      <c r="L40" s="16" t="str">
        <f t="shared" si="3"/>
        <v>Ja</v>
      </c>
      <c r="M40" s="16" t="str">
        <f t="shared" si="4"/>
        <v>Ja</v>
      </c>
      <c r="N40" s="16" t="str">
        <f t="shared" si="5"/>
        <v>Ja</v>
      </c>
      <c r="O40" s="16">
        <f>'Club details'!$B$8</f>
        <v>0</v>
      </c>
      <c r="P40" s="16"/>
      <c r="Q40" s="41">
        <v>34</v>
      </c>
      <c r="R40" s="16" t="str">
        <f t="shared" si="6"/>
        <v/>
      </c>
    </row>
    <row r="41" spans="1:18" x14ac:dyDescent="0.25">
      <c r="A41" s="39">
        <v>35</v>
      </c>
      <c r="B41" s="16">
        <f>Participants!B43</f>
        <v>0</v>
      </c>
      <c r="C41" s="16">
        <f>Participants!C43</f>
        <v>0</v>
      </c>
      <c r="D41" s="16">
        <f>Participants!D43</f>
        <v>0</v>
      </c>
      <c r="E41" s="40">
        <f>Participants!$C$1</f>
        <v>0</v>
      </c>
      <c r="F41" s="16" t="str">
        <f>IF(Participants!O43="Yes","Ja",IF(Participants!O43="Partly",Participants!P43,"Nee"))</f>
        <v>Nee</v>
      </c>
      <c r="G41" s="16" t="str">
        <f>Participants!E43</f>
        <v>15+</v>
      </c>
      <c r="H41" s="16" t="str">
        <f>Participants!H43</f>
        <v>-</v>
      </c>
      <c r="I41" s="16" t="str">
        <f t="shared" si="0"/>
        <v>Ja</v>
      </c>
      <c r="J41" s="16" t="str">
        <f t="shared" si="1"/>
        <v>Ja</v>
      </c>
      <c r="K41" s="16" t="str">
        <f t="shared" si="2"/>
        <v>Ja</v>
      </c>
      <c r="L41" s="16" t="str">
        <f t="shared" si="3"/>
        <v>Ja</v>
      </c>
      <c r="M41" s="16" t="str">
        <f t="shared" si="4"/>
        <v>Ja</v>
      </c>
      <c r="N41" s="16" t="str">
        <f t="shared" si="5"/>
        <v>Ja</v>
      </c>
      <c r="O41" s="16">
        <f>'Club details'!$B$8</f>
        <v>0</v>
      </c>
      <c r="P41" s="16"/>
      <c r="Q41" s="41">
        <v>35</v>
      </c>
      <c r="R41" s="16" t="str">
        <f t="shared" si="6"/>
        <v/>
      </c>
    </row>
    <row r="42" spans="1:18" x14ac:dyDescent="0.25">
      <c r="A42" s="39">
        <v>36</v>
      </c>
      <c r="B42" s="16">
        <f>Participants!B44</f>
        <v>0</v>
      </c>
      <c r="C42" s="16">
        <f>Participants!C44</f>
        <v>0</v>
      </c>
      <c r="D42" s="16">
        <f>Participants!D44</f>
        <v>0</v>
      </c>
      <c r="E42" s="40">
        <f>Participants!$C$1</f>
        <v>0</v>
      </c>
      <c r="F42" s="16" t="str">
        <f>IF(Participants!O44="Yes","Ja",IF(Participants!O44="Partly",Participants!P44,"Nee"))</f>
        <v>Nee</v>
      </c>
      <c r="G42" s="16" t="str">
        <f>Participants!E44</f>
        <v>15+</v>
      </c>
      <c r="H42" s="16" t="str">
        <f>Participants!H44</f>
        <v>-</v>
      </c>
      <c r="I42" s="16" t="str">
        <f t="shared" si="0"/>
        <v>Ja</v>
      </c>
      <c r="J42" s="16" t="str">
        <f t="shared" si="1"/>
        <v>Ja</v>
      </c>
      <c r="K42" s="16" t="str">
        <f t="shared" si="2"/>
        <v>Ja</v>
      </c>
      <c r="L42" s="16" t="str">
        <f t="shared" si="3"/>
        <v>Ja</v>
      </c>
      <c r="M42" s="16" t="str">
        <f t="shared" si="4"/>
        <v>Ja</v>
      </c>
      <c r="N42" s="16" t="str">
        <f t="shared" si="5"/>
        <v>Ja</v>
      </c>
      <c r="O42" s="16">
        <f>'Club details'!$B$8</f>
        <v>0</v>
      </c>
      <c r="P42" s="16"/>
      <c r="Q42" s="41">
        <v>36</v>
      </c>
      <c r="R42" s="16" t="str">
        <f t="shared" si="6"/>
        <v/>
      </c>
    </row>
    <row r="43" spans="1:18" x14ac:dyDescent="0.25">
      <c r="A43" s="39">
        <v>37</v>
      </c>
      <c r="B43" s="16">
        <f>Participants!B45</f>
        <v>0</v>
      </c>
      <c r="C43" s="16">
        <f>Participants!C45</f>
        <v>0</v>
      </c>
      <c r="D43" s="16">
        <f>Participants!D45</f>
        <v>0</v>
      </c>
      <c r="E43" s="40">
        <f>Participants!$C$1</f>
        <v>0</v>
      </c>
      <c r="F43" s="16" t="str">
        <f>IF(Participants!O45="Yes","Ja",IF(Participants!O45="Partly",Participants!P45,"Nee"))</f>
        <v>Nee</v>
      </c>
      <c r="G43" s="16" t="str">
        <f>Participants!E45</f>
        <v>15+</v>
      </c>
      <c r="H43" s="16" t="str">
        <f>Participants!H45</f>
        <v>-</v>
      </c>
      <c r="I43" s="16" t="str">
        <f t="shared" si="0"/>
        <v>Ja</v>
      </c>
      <c r="J43" s="16" t="str">
        <f t="shared" si="1"/>
        <v>Ja</v>
      </c>
      <c r="K43" s="16" t="str">
        <f t="shared" si="2"/>
        <v>Ja</v>
      </c>
      <c r="L43" s="16" t="str">
        <f t="shared" si="3"/>
        <v>Ja</v>
      </c>
      <c r="M43" s="16" t="str">
        <f t="shared" si="4"/>
        <v>Ja</v>
      </c>
      <c r="N43" s="16" t="str">
        <f t="shared" si="5"/>
        <v>Ja</v>
      </c>
      <c r="O43" s="16">
        <f>'Club details'!$B$8</f>
        <v>0</v>
      </c>
      <c r="P43" s="16"/>
      <c r="Q43" s="41">
        <v>37</v>
      </c>
      <c r="R43" s="16" t="str">
        <f t="shared" si="6"/>
        <v/>
      </c>
    </row>
    <row r="44" spans="1:18" x14ac:dyDescent="0.25">
      <c r="A44" s="39">
        <v>38</v>
      </c>
      <c r="B44" s="16">
        <f>Participants!B46</f>
        <v>0</v>
      </c>
      <c r="C44" s="16">
        <f>Participants!C46</f>
        <v>0</v>
      </c>
      <c r="D44" s="16">
        <f>Participants!D46</f>
        <v>0</v>
      </c>
      <c r="E44" s="40">
        <f>Participants!$C$1</f>
        <v>0</v>
      </c>
      <c r="F44" s="16" t="str">
        <f>IF(Participants!O46="Yes","Ja",IF(Participants!O46="Partly",Participants!P46,"Nee"))</f>
        <v>Nee</v>
      </c>
      <c r="G44" s="16" t="str">
        <f>Participants!E46</f>
        <v>15+</v>
      </c>
      <c r="H44" s="16" t="str">
        <f>Participants!H46</f>
        <v>-</v>
      </c>
      <c r="I44" s="16" t="str">
        <f t="shared" si="0"/>
        <v>Ja</v>
      </c>
      <c r="J44" s="16" t="str">
        <f t="shared" si="1"/>
        <v>Ja</v>
      </c>
      <c r="K44" s="16" t="str">
        <f t="shared" si="2"/>
        <v>Ja</v>
      </c>
      <c r="L44" s="16" t="str">
        <f t="shared" si="3"/>
        <v>Ja</v>
      </c>
      <c r="M44" s="16" t="str">
        <f t="shared" si="4"/>
        <v>Ja</v>
      </c>
      <c r="N44" s="16" t="str">
        <f t="shared" si="5"/>
        <v>Ja</v>
      </c>
      <c r="O44" s="16">
        <f>'Club details'!$B$8</f>
        <v>0</v>
      </c>
      <c r="P44" s="16"/>
      <c r="Q44" s="41">
        <v>38</v>
      </c>
      <c r="R44" s="16" t="str">
        <f t="shared" si="6"/>
        <v/>
      </c>
    </row>
    <row r="45" spans="1:18" x14ac:dyDescent="0.25">
      <c r="A45" s="39">
        <v>39</v>
      </c>
      <c r="B45" s="16">
        <f>Participants!B47</f>
        <v>0</v>
      </c>
      <c r="C45" s="16">
        <f>Participants!C47</f>
        <v>0</v>
      </c>
      <c r="D45" s="16">
        <f>Participants!D47</f>
        <v>0</v>
      </c>
      <c r="E45" s="40">
        <f>Participants!$C$1</f>
        <v>0</v>
      </c>
      <c r="F45" s="16" t="str">
        <f>IF(Participants!O47="Yes","Ja",IF(Participants!O47="Partly",Participants!P47,"Nee"))</f>
        <v>Nee</v>
      </c>
      <c r="G45" s="16" t="str">
        <f>Participants!E47</f>
        <v>15+</v>
      </c>
      <c r="H45" s="16" t="str">
        <f>Participants!H47</f>
        <v>-</v>
      </c>
      <c r="I45" s="16" t="str">
        <f t="shared" si="0"/>
        <v>Ja</v>
      </c>
      <c r="J45" s="16" t="str">
        <f t="shared" si="1"/>
        <v>Ja</v>
      </c>
      <c r="K45" s="16" t="str">
        <f t="shared" si="2"/>
        <v>Ja</v>
      </c>
      <c r="L45" s="16" t="str">
        <f t="shared" si="3"/>
        <v>Ja</v>
      </c>
      <c r="M45" s="16" t="str">
        <f t="shared" si="4"/>
        <v>Ja</v>
      </c>
      <c r="N45" s="16" t="str">
        <f t="shared" si="5"/>
        <v>Ja</v>
      </c>
      <c r="O45" s="16">
        <f>'Club details'!$B$8</f>
        <v>0</v>
      </c>
      <c r="P45" s="16"/>
      <c r="Q45" s="41">
        <v>39</v>
      </c>
      <c r="R45" s="16" t="str">
        <f t="shared" si="6"/>
        <v/>
      </c>
    </row>
    <row r="46" spans="1:18" x14ac:dyDescent="0.25">
      <c r="A46" s="39">
        <v>40</v>
      </c>
      <c r="B46" s="16">
        <f>Participants!B48</f>
        <v>0</v>
      </c>
      <c r="C46" s="16">
        <f>Participants!C48</f>
        <v>0</v>
      </c>
      <c r="D46" s="16">
        <f>Participants!D48</f>
        <v>0</v>
      </c>
      <c r="E46" s="40">
        <f>Participants!$C$1</f>
        <v>0</v>
      </c>
      <c r="F46" s="16" t="str">
        <f>IF(Participants!O48="Yes","Ja",IF(Participants!O48="Partly",Participants!P48,"Nee"))</f>
        <v>Nee</v>
      </c>
      <c r="G46" s="16" t="str">
        <f>Participants!E48</f>
        <v>15+</v>
      </c>
      <c r="H46" s="16" t="str">
        <f>Participants!H48</f>
        <v>-</v>
      </c>
      <c r="I46" s="16" t="str">
        <f t="shared" si="0"/>
        <v>Ja</v>
      </c>
      <c r="J46" s="16" t="str">
        <f t="shared" si="1"/>
        <v>Ja</v>
      </c>
      <c r="K46" s="16" t="str">
        <f t="shared" si="2"/>
        <v>Ja</v>
      </c>
      <c r="L46" s="16" t="str">
        <f t="shared" si="3"/>
        <v>Ja</v>
      </c>
      <c r="M46" s="16" t="str">
        <f t="shared" si="4"/>
        <v>Ja</v>
      </c>
      <c r="N46" s="16" t="str">
        <f t="shared" si="5"/>
        <v>Ja</v>
      </c>
      <c r="O46" s="16">
        <f>'Club details'!$B$8</f>
        <v>0</v>
      </c>
      <c r="P46" s="16"/>
      <c r="Q46" s="41">
        <v>40</v>
      </c>
      <c r="R46" s="16" t="str">
        <f t="shared" si="6"/>
        <v/>
      </c>
    </row>
    <row r="47" spans="1:18" x14ac:dyDescent="0.25">
      <c r="A47" s="39">
        <v>41</v>
      </c>
      <c r="B47" s="16">
        <f>Participants!B49</f>
        <v>0</v>
      </c>
      <c r="C47" s="16">
        <f>Participants!C49</f>
        <v>0</v>
      </c>
      <c r="D47" s="16">
        <f>Participants!D49</f>
        <v>0</v>
      </c>
      <c r="E47" s="40">
        <f>Participants!$C$1</f>
        <v>0</v>
      </c>
      <c r="F47" s="16" t="str">
        <f>IF(Participants!O49="Yes","Ja",IF(Participants!O49="Partly",Participants!P49,"Nee"))</f>
        <v>Nee</v>
      </c>
      <c r="G47" s="16" t="str">
        <f>Participants!E49</f>
        <v>15+</v>
      </c>
      <c r="H47" s="16" t="str">
        <f>Participants!H49</f>
        <v>-</v>
      </c>
      <c r="I47" s="16" t="str">
        <f t="shared" si="0"/>
        <v>Ja</v>
      </c>
      <c r="J47" s="16" t="str">
        <f t="shared" si="1"/>
        <v>Ja</v>
      </c>
      <c r="K47" s="16" t="str">
        <f t="shared" si="2"/>
        <v>Ja</v>
      </c>
      <c r="L47" s="16" t="str">
        <f t="shared" si="3"/>
        <v>Ja</v>
      </c>
      <c r="M47" s="16" t="str">
        <f t="shared" si="4"/>
        <v>Ja</v>
      </c>
      <c r="N47" s="16" t="str">
        <f t="shared" si="5"/>
        <v>Ja</v>
      </c>
      <c r="O47" s="16">
        <f>'Club details'!$B$8</f>
        <v>0</v>
      </c>
      <c r="P47" s="16"/>
      <c r="Q47" s="41">
        <v>41</v>
      </c>
      <c r="R47" s="16" t="str">
        <f t="shared" si="6"/>
        <v/>
      </c>
    </row>
    <row r="48" spans="1:18" x14ac:dyDescent="0.25">
      <c r="A48" s="39">
        <v>42</v>
      </c>
      <c r="B48" s="16">
        <f>Participants!B50</f>
        <v>0</v>
      </c>
      <c r="C48" s="16">
        <f>Participants!C50</f>
        <v>0</v>
      </c>
      <c r="D48" s="16">
        <f>Participants!D50</f>
        <v>0</v>
      </c>
      <c r="E48" s="40">
        <f>Participants!$C$1</f>
        <v>0</v>
      </c>
      <c r="F48" s="16" t="str">
        <f>IF(Participants!O50="Yes","Ja",IF(Participants!O50="Partly",Participants!P50,"Nee"))</f>
        <v>Nee</v>
      </c>
      <c r="G48" s="16" t="str">
        <f>Participants!E50</f>
        <v>15+</v>
      </c>
      <c r="H48" s="16" t="str">
        <f>Participants!H50</f>
        <v>-</v>
      </c>
      <c r="I48" s="16" t="str">
        <f t="shared" si="0"/>
        <v>Ja</v>
      </c>
      <c r="J48" s="16" t="str">
        <f t="shared" si="1"/>
        <v>Ja</v>
      </c>
      <c r="K48" s="16" t="str">
        <f t="shared" si="2"/>
        <v>Ja</v>
      </c>
      <c r="L48" s="16" t="str">
        <f t="shared" si="3"/>
        <v>Ja</v>
      </c>
      <c r="M48" s="16" t="str">
        <f t="shared" si="4"/>
        <v>Ja</v>
      </c>
      <c r="N48" s="16" t="str">
        <f t="shared" si="5"/>
        <v>Ja</v>
      </c>
      <c r="O48" s="16">
        <f>'Club details'!$B$8</f>
        <v>0</v>
      </c>
      <c r="P48" s="16"/>
      <c r="Q48" s="41">
        <v>42</v>
      </c>
      <c r="R48" s="16" t="str">
        <f t="shared" si="6"/>
        <v/>
      </c>
    </row>
    <row r="49" spans="1:18" x14ac:dyDescent="0.25">
      <c r="A49" s="39">
        <v>43</v>
      </c>
      <c r="B49" s="16">
        <f>Participants!B51</f>
        <v>0</v>
      </c>
      <c r="C49" s="16">
        <f>Participants!C51</f>
        <v>0</v>
      </c>
      <c r="D49" s="16">
        <f>Participants!D51</f>
        <v>0</v>
      </c>
      <c r="E49" s="40">
        <f>Participants!$C$1</f>
        <v>0</v>
      </c>
      <c r="F49" s="16" t="str">
        <f>IF(Participants!O51="Yes","Ja",IF(Participants!O51="Partly",Participants!P51,"Nee"))</f>
        <v>Nee</v>
      </c>
      <c r="G49" s="16" t="str">
        <f>Participants!E51</f>
        <v>15+</v>
      </c>
      <c r="H49" s="16" t="str">
        <f>Participants!H51</f>
        <v>-</v>
      </c>
      <c r="I49" s="16" t="str">
        <f t="shared" si="0"/>
        <v>Ja</v>
      </c>
      <c r="J49" s="16" t="str">
        <f t="shared" si="1"/>
        <v>Ja</v>
      </c>
      <c r="K49" s="16" t="str">
        <f t="shared" si="2"/>
        <v>Ja</v>
      </c>
      <c r="L49" s="16" t="str">
        <f t="shared" si="3"/>
        <v>Ja</v>
      </c>
      <c r="M49" s="16" t="str">
        <f t="shared" si="4"/>
        <v>Ja</v>
      </c>
      <c r="N49" s="16" t="str">
        <f t="shared" si="5"/>
        <v>Ja</v>
      </c>
      <c r="O49" s="16">
        <f>'Club details'!$B$8</f>
        <v>0</v>
      </c>
      <c r="P49" s="16"/>
      <c r="Q49" s="41">
        <v>43</v>
      </c>
      <c r="R49" s="16" t="str">
        <f t="shared" si="6"/>
        <v/>
      </c>
    </row>
    <row r="50" spans="1:18" x14ac:dyDescent="0.25">
      <c r="A50" s="39">
        <v>44</v>
      </c>
      <c r="B50" s="16">
        <f>Participants!B52</f>
        <v>0</v>
      </c>
      <c r="C50" s="16">
        <f>Participants!C52</f>
        <v>0</v>
      </c>
      <c r="D50" s="16">
        <f>Participants!D52</f>
        <v>0</v>
      </c>
      <c r="E50" s="40">
        <f>Participants!$C$1</f>
        <v>0</v>
      </c>
      <c r="F50" s="16" t="str">
        <f>IF(Participants!O52="Yes","Ja",IF(Participants!O52="Partly",Participants!P52,"Nee"))</f>
        <v>Nee</v>
      </c>
      <c r="G50" s="16" t="str">
        <f>Participants!E52</f>
        <v>15+</v>
      </c>
      <c r="H50" s="16" t="str">
        <f>Participants!H52</f>
        <v>-</v>
      </c>
      <c r="I50" s="16" t="str">
        <f t="shared" si="0"/>
        <v>Ja</v>
      </c>
      <c r="J50" s="16" t="str">
        <f t="shared" si="1"/>
        <v>Ja</v>
      </c>
      <c r="K50" s="16" t="str">
        <f t="shared" si="2"/>
        <v>Ja</v>
      </c>
      <c r="L50" s="16" t="str">
        <f t="shared" si="3"/>
        <v>Ja</v>
      </c>
      <c r="M50" s="16" t="str">
        <f t="shared" si="4"/>
        <v>Ja</v>
      </c>
      <c r="N50" s="16" t="str">
        <f t="shared" si="5"/>
        <v>Ja</v>
      </c>
      <c r="O50" s="16">
        <f>'Club details'!$B$8</f>
        <v>0</v>
      </c>
      <c r="P50" s="16"/>
      <c r="Q50" s="41">
        <v>44</v>
      </c>
      <c r="R50" s="16" t="str">
        <f t="shared" si="6"/>
        <v/>
      </c>
    </row>
    <row r="51" spans="1:18" x14ac:dyDescent="0.25">
      <c r="A51" s="39">
        <v>45</v>
      </c>
      <c r="B51" s="16">
        <f>Participants!B53</f>
        <v>0</v>
      </c>
      <c r="C51" s="16">
        <f>Participants!C53</f>
        <v>0</v>
      </c>
      <c r="D51" s="16">
        <f>Participants!D53</f>
        <v>0</v>
      </c>
      <c r="E51" s="40">
        <f>Participants!$C$1</f>
        <v>0</v>
      </c>
      <c r="F51" s="16" t="str">
        <f>IF(Participants!O53="Yes","Ja",IF(Participants!O53="Partly",Participants!P53,"Nee"))</f>
        <v>Nee</v>
      </c>
      <c r="G51" s="16" t="str">
        <f>Participants!E53</f>
        <v>15+</v>
      </c>
      <c r="H51" s="16" t="str">
        <f>Participants!H53</f>
        <v>-</v>
      </c>
      <c r="I51" s="16" t="str">
        <f t="shared" si="0"/>
        <v>Ja</v>
      </c>
      <c r="J51" s="16" t="str">
        <f t="shared" si="1"/>
        <v>Ja</v>
      </c>
      <c r="K51" s="16" t="str">
        <f t="shared" si="2"/>
        <v>Ja</v>
      </c>
      <c r="L51" s="16" t="str">
        <f t="shared" si="3"/>
        <v>Ja</v>
      </c>
      <c r="M51" s="16" t="str">
        <f t="shared" si="4"/>
        <v>Ja</v>
      </c>
      <c r="N51" s="16" t="str">
        <f t="shared" si="5"/>
        <v>Ja</v>
      </c>
      <c r="O51" s="16">
        <f>'Club details'!$B$8</f>
        <v>0</v>
      </c>
      <c r="P51" s="16"/>
      <c r="Q51" s="41">
        <v>45</v>
      </c>
      <c r="R51" s="16" t="str">
        <f t="shared" si="6"/>
        <v/>
      </c>
    </row>
    <row r="52" spans="1:18" x14ac:dyDescent="0.25">
      <c r="A52" s="39">
        <v>46</v>
      </c>
      <c r="B52" s="16">
        <f>Participants!B54</f>
        <v>0</v>
      </c>
      <c r="C52" s="16">
        <f>Participants!C54</f>
        <v>0</v>
      </c>
      <c r="D52" s="16">
        <f>Participants!D54</f>
        <v>0</v>
      </c>
      <c r="E52" s="40">
        <f>Participants!$C$1</f>
        <v>0</v>
      </c>
      <c r="F52" s="16" t="str">
        <f>IF(Participants!O54="Yes","Ja",IF(Participants!O54="Partly",Participants!P54,"Nee"))</f>
        <v>Nee</v>
      </c>
      <c r="G52" s="16" t="str">
        <f>Participants!E54</f>
        <v>15+</v>
      </c>
      <c r="H52" s="16" t="str">
        <f>Participants!H54</f>
        <v>-</v>
      </c>
      <c r="I52" s="16" t="str">
        <f t="shared" si="0"/>
        <v>Ja</v>
      </c>
      <c r="J52" s="16" t="str">
        <f t="shared" si="1"/>
        <v>Ja</v>
      </c>
      <c r="K52" s="16" t="str">
        <f t="shared" si="2"/>
        <v>Ja</v>
      </c>
      <c r="L52" s="16" t="str">
        <f t="shared" si="3"/>
        <v>Ja</v>
      </c>
      <c r="M52" s="16" t="str">
        <f t="shared" si="4"/>
        <v>Ja</v>
      </c>
      <c r="N52" s="16" t="str">
        <f t="shared" si="5"/>
        <v>Ja</v>
      </c>
      <c r="O52" s="16">
        <f>'Club details'!$B$8</f>
        <v>0</v>
      </c>
      <c r="P52" s="16"/>
      <c r="Q52" s="41">
        <v>46</v>
      </c>
      <c r="R52" s="16" t="str">
        <f t="shared" si="6"/>
        <v/>
      </c>
    </row>
    <row r="53" spans="1:18" x14ac:dyDescent="0.25">
      <c r="A53" s="39">
        <v>47</v>
      </c>
      <c r="B53" s="16">
        <f>Participants!B55</f>
        <v>0</v>
      </c>
      <c r="C53" s="16">
        <f>Participants!C55</f>
        <v>0</v>
      </c>
      <c r="D53" s="16">
        <f>Participants!D55</f>
        <v>0</v>
      </c>
      <c r="E53" s="40">
        <f>Participants!$C$1</f>
        <v>0</v>
      </c>
      <c r="F53" s="16" t="str">
        <f>IF(Participants!O55="Yes","Ja",IF(Participants!O55="Partly",Participants!P55,"Nee"))</f>
        <v>Nee</v>
      </c>
      <c r="G53" s="16" t="str">
        <f>Participants!E55</f>
        <v>15+</v>
      </c>
      <c r="H53" s="16" t="str">
        <f>Participants!H55</f>
        <v>-</v>
      </c>
      <c r="I53" s="16" t="str">
        <f t="shared" si="0"/>
        <v>Ja</v>
      </c>
      <c r="J53" s="16" t="str">
        <f t="shared" si="1"/>
        <v>Ja</v>
      </c>
      <c r="K53" s="16" t="str">
        <f t="shared" si="2"/>
        <v>Ja</v>
      </c>
      <c r="L53" s="16" t="str">
        <f t="shared" si="3"/>
        <v>Ja</v>
      </c>
      <c r="M53" s="16" t="str">
        <f t="shared" si="4"/>
        <v>Ja</v>
      </c>
      <c r="N53" s="16" t="str">
        <f t="shared" si="5"/>
        <v>Ja</v>
      </c>
      <c r="O53" s="16">
        <f>'Club details'!$B$8</f>
        <v>0</v>
      </c>
      <c r="P53" s="16"/>
      <c r="Q53" s="41">
        <v>47</v>
      </c>
      <c r="R53" s="16" t="str">
        <f t="shared" si="6"/>
        <v/>
      </c>
    </row>
    <row r="54" spans="1:18" x14ac:dyDescent="0.25">
      <c r="A54" s="39">
        <v>48</v>
      </c>
      <c r="B54" s="16">
        <f>Participants!B56</f>
        <v>0</v>
      </c>
      <c r="C54" s="16">
        <f>Participants!C56</f>
        <v>0</v>
      </c>
      <c r="D54" s="16">
        <f>Participants!D56</f>
        <v>0</v>
      </c>
      <c r="E54" s="40">
        <f>Participants!$C$1</f>
        <v>0</v>
      </c>
      <c r="F54" s="16" t="str">
        <f>IF(Participants!O56="Yes","Ja",IF(Participants!O56="Partly",Participants!P56,"Nee"))</f>
        <v>Nee</v>
      </c>
      <c r="G54" s="16" t="str">
        <f>Participants!E56</f>
        <v>15+</v>
      </c>
      <c r="H54" s="16" t="str">
        <f>Participants!H56</f>
        <v>-</v>
      </c>
      <c r="I54" s="16" t="str">
        <f t="shared" si="0"/>
        <v>Ja</v>
      </c>
      <c r="J54" s="16" t="str">
        <f t="shared" si="1"/>
        <v>Ja</v>
      </c>
      <c r="K54" s="16" t="str">
        <f t="shared" si="2"/>
        <v>Ja</v>
      </c>
      <c r="L54" s="16" t="str">
        <f t="shared" si="3"/>
        <v>Ja</v>
      </c>
      <c r="M54" s="16" t="str">
        <f t="shared" si="4"/>
        <v>Ja</v>
      </c>
      <c r="N54" s="16" t="str">
        <f t="shared" si="5"/>
        <v>Ja</v>
      </c>
      <c r="O54" s="16">
        <f>'Club details'!$B$8</f>
        <v>0</v>
      </c>
      <c r="P54" s="16"/>
      <c r="Q54" s="41">
        <v>48</v>
      </c>
      <c r="R54" s="16" t="str">
        <f t="shared" si="6"/>
        <v/>
      </c>
    </row>
    <row r="55" spans="1:18" x14ac:dyDescent="0.25">
      <c r="A55" s="39">
        <v>49</v>
      </c>
      <c r="B55" s="16">
        <f>Participants!B57</f>
        <v>0</v>
      </c>
      <c r="C55" s="16">
        <f>Participants!C57</f>
        <v>0</v>
      </c>
      <c r="D55" s="16">
        <f>Participants!D57</f>
        <v>0</v>
      </c>
      <c r="E55" s="40">
        <f>Participants!$C$1</f>
        <v>0</v>
      </c>
      <c r="F55" s="16" t="str">
        <f>IF(Participants!O57="Yes","Ja",IF(Participants!O57="Partly",Participants!P57,"Nee"))</f>
        <v>Nee</v>
      </c>
      <c r="G55" s="16" t="str">
        <f>Participants!E57</f>
        <v>15+</v>
      </c>
      <c r="H55" s="16" t="str">
        <f>Participants!H57</f>
        <v>-</v>
      </c>
      <c r="I55" s="16" t="str">
        <f t="shared" si="0"/>
        <v>Ja</v>
      </c>
      <c r="J55" s="16" t="str">
        <f t="shared" si="1"/>
        <v>Ja</v>
      </c>
      <c r="K55" s="16" t="str">
        <f t="shared" si="2"/>
        <v>Ja</v>
      </c>
      <c r="L55" s="16" t="str">
        <f t="shared" si="3"/>
        <v>Ja</v>
      </c>
      <c r="M55" s="16" t="str">
        <f t="shared" si="4"/>
        <v>Ja</v>
      </c>
      <c r="N55" s="16" t="str">
        <f t="shared" si="5"/>
        <v>Ja</v>
      </c>
      <c r="O55" s="16">
        <f>'Club details'!$B$8</f>
        <v>0</v>
      </c>
      <c r="P55" s="16"/>
      <c r="Q55" s="41">
        <v>49</v>
      </c>
      <c r="R55" s="16" t="str">
        <f t="shared" si="6"/>
        <v/>
      </c>
    </row>
    <row r="56" spans="1:18" x14ac:dyDescent="0.25">
      <c r="A56" s="39">
        <v>50</v>
      </c>
      <c r="B56" s="16">
        <f>Participants!B58</f>
        <v>0</v>
      </c>
      <c r="C56" s="16">
        <f>Participants!C58</f>
        <v>0</v>
      </c>
      <c r="D56" s="16">
        <f>Participants!D58</f>
        <v>0</v>
      </c>
      <c r="E56" s="40">
        <f>Participants!$C$1</f>
        <v>0</v>
      </c>
      <c r="F56" s="16" t="str">
        <f>IF(Participants!O58="Yes","Ja",IF(Participants!O58="Partly",Participants!P58,"Nee"))</f>
        <v>Nee</v>
      </c>
      <c r="G56" s="16" t="str">
        <f>Participants!E58</f>
        <v>15+</v>
      </c>
      <c r="H56" s="16" t="str">
        <f>Participants!H58</f>
        <v>-</v>
      </c>
      <c r="I56" s="16" t="str">
        <f t="shared" si="0"/>
        <v>Ja</v>
      </c>
      <c r="J56" s="16" t="str">
        <f t="shared" si="1"/>
        <v>Ja</v>
      </c>
      <c r="K56" s="16" t="str">
        <f t="shared" si="2"/>
        <v>Ja</v>
      </c>
      <c r="L56" s="16" t="str">
        <f t="shared" si="3"/>
        <v>Ja</v>
      </c>
      <c r="M56" s="16" t="str">
        <f t="shared" si="4"/>
        <v>Ja</v>
      </c>
      <c r="N56" s="16" t="str">
        <f t="shared" si="5"/>
        <v>Ja</v>
      </c>
      <c r="O56" s="16">
        <f>'Club details'!$B$8</f>
        <v>0</v>
      </c>
      <c r="P56" s="16"/>
      <c r="Q56" s="41">
        <v>50</v>
      </c>
      <c r="R56" s="16" t="str">
        <f t="shared" si="6"/>
        <v/>
      </c>
    </row>
    <row r="57" spans="1:18" x14ac:dyDescent="0.25">
      <c r="A57" s="39">
        <v>51</v>
      </c>
      <c r="B57" s="16">
        <f>Participants!B59</f>
        <v>0</v>
      </c>
      <c r="C57" s="16">
        <f>Participants!C59</f>
        <v>0</v>
      </c>
      <c r="D57" s="16">
        <f>Participants!D59</f>
        <v>0</v>
      </c>
      <c r="E57" s="40">
        <f>Participants!$C$1</f>
        <v>0</v>
      </c>
      <c r="F57" s="16" t="str">
        <f>IF(Participants!O59="Yes","Ja",IF(Participants!O59="Partly",Participants!P59,"Nee"))</f>
        <v>Nee</v>
      </c>
      <c r="G57" s="16" t="str">
        <f>Participants!E59</f>
        <v>15+</v>
      </c>
      <c r="H57" s="16" t="str">
        <f>Participants!H59</f>
        <v>-</v>
      </c>
      <c r="I57" s="16" t="str">
        <f t="shared" si="0"/>
        <v>Ja</v>
      </c>
      <c r="J57" s="16" t="str">
        <f t="shared" si="1"/>
        <v>Ja</v>
      </c>
      <c r="K57" s="16" t="str">
        <f t="shared" si="2"/>
        <v>Ja</v>
      </c>
      <c r="L57" s="16" t="str">
        <f t="shared" si="3"/>
        <v>Ja</v>
      </c>
      <c r="M57" s="16" t="str">
        <f t="shared" si="4"/>
        <v>Ja</v>
      </c>
      <c r="N57" s="16" t="str">
        <f t="shared" si="5"/>
        <v>Ja</v>
      </c>
      <c r="O57" s="16">
        <f>'Club details'!$B$8</f>
        <v>0</v>
      </c>
      <c r="P57" s="16"/>
      <c r="Q57" s="41">
        <v>51</v>
      </c>
      <c r="R57" s="16" t="str">
        <f t="shared" si="6"/>
        <v/>
      </c>
    </row>
    <row r="58" spans="1:18" x14ac:dyDescent="0.25">
      <c r="A58" s="39">
        <v>52</v>
      </c>
      <c r="B58" s="16">
        <f>Participants!B60</f>
        <v>0</v>
      </c>
      <c r="C58" s="16">
        <f>Participants!C60</f>
        <v>0</v>
      </c>
      <c r="D58" s="16">
        <f>Participants!D60</f>
        <v>0</v>
      </c>
      <c r="E58" s="40">
        <f>Participants!$C$1</f>
        <v>0</v>
      </c>
      <c r="F58" s="16" t="str">
        <f>IF(Participants!O60="Yes","Ja",IF(Participants!O60="Partly",Participants!P60,"Nee"))</f>
        <v>Nee</v>
      </c>
      <c r="G58" s="16" t="str">
        <f>Participants!E60</f>
        <v>15+</v>
      </c>
      <c r="H58" s="16" t="str">
        <f>Participants!H60</f>
        <v>-</v>
      </c>
      <c r="I58" s="16" t="str">
        <f t="shared" si="0"/>
        <v>Ja</v>
      </c>
      <c r="J58" s="16" t="str">
        <f t="shared" si="1"/>
        <v>Ja</v>
      </c>
      <c r="K58" s="16" t="str">
        <f t="shared" si="2"/>
        <v>Ja</v>
      </c>
      <c r="L58" s="16" t="str">
        <f t="shared" si="3"/>
        <v>Ja</v>
      </c>
      <c r="M58" s="16" t="str">
        <f t="shared" si="4"/>
        <v>Ja</v>
      </c>
      <c r="N58" s="16" t="str">
        <f t="shared" si="5"/>
        <v>Ja</v>
      </c>
      <c r="O58" s="16">
        <f>'Club details'!$B$8</f>
        <v>0</v>
      </c>
      <c r="P58" s="16"/>
      <c r="Q58" s="41">
        <v>52</v>
      </c>
      <c r="R58" s="16" t="str">
        <f t="shared" si="6"/>
        <v/>
      </c>
    </row>
    <row r="59" spans="1:18" x14ac:dyDescent="0.25">
      <c r="A59" s="39">
        <v>53</v>
      </c>
      <c r="B59" s="16">
        <f>Participants!B61</f>
        <v>0</v>
      </c>
      <c r="C59" s="16">
        <f>Participants!C61</f>
        <v>0</v>
      </c>
      <c r="D59" s="16">
        <f>Participants!D61</f>
        <v>0</v>
      </c>
      <c r="E59" s="40">
        <f>Participants!$C$1</f>
        <v>0</v>
      </c>
      <c r="F59" s="16" t="str">
        <f>IF(Participants!O61="Yes","Ja",IF(Participants!O61="Partly",Participants!P61,"Nee"))</f>
        <v>Nee</v>
      </c>
      <c r="G59" s="16" t="str">
        <f>Participants!E61</f>
        <v>15+</v>
      </c>
      <c r="H59" s="16" t="str">
        <f>Participants!H61</f>
        <v>-</v>
      </c>
      <c r="I59" s="16" t="str">
        <f t="shared" si="0"/>
        <v>Ja</v>
      </c>
      <c r="J59" s="16" t="str">
        <f t="shared" si="1"/>
        <v>Ja</v>
      </c>
      <c r="K59" s="16" t="str">
        <f t="shared" si="2"/>
        <v>Ja</v>
      </c>
      <c r="L59" s="16" t="str">
        <f t="shared" si="3"/>
        <v>Ja</v>
      </c>
      <c r="M59" s="16" t="str">
        <f t="shared" si="4"/>
        <v>Ja</v>
      </c>
      <c r="N59" s="16" t="str">
        <f t="shared" si="5"/>
        <v>Ja</v>
      </c>
      <c r="O59" s="16">
        <f>'Club details'!$B$8</f>
        <v>0</v>
      </c>
      <c r="P59" s="16"/>
      <c r="Q59" s="41">
        <v>53</v>
      </c>
      <c r="R59" s="16" t="str">
        <f t="shared" si="6"/>
        <v/>
      </c>
    </row>
    <row r="60" spans="1:18" x14ac:dyDescent="0.25">
      <c r="A60" s="39">
        <v>54</v>
      </c>
      <c r="B60" s="16">
        <f>Participants!B62</f>
        <v>0</v>
      </c>
      <c r="C60" s="16">
        <f>Participants!C62</f>
        <v>0</v>
      </c>
      <c r="D60" s="16">
        <f>Participants!D62</f>
        <v>0</v>
      </c>
      <c r="E60" s="40">
        <f>Participants!$C$1</f>
        <v>0</v>
      </c>
      <c r="F60" s="16" t="str">
        <f>IF(Participants!O62="Yes","Ja",IF(Participants!O62="Partly",Participants!P62,"Nee"))</f>
        <v>Nee</v>
      </c>
      <c r="G60" s="16" t="str">
        <f>Participants!E62</f>
        <v>15+</v>
      </c>
      <c r="H60" s="16" t="str">
        <f>Participants!H62</f>
        <v>-</v>
      </c>
      <c r="I60" s="16" t="str">
        <f t="shared" si="0"/>
        <v>Ja</v>
      </c>
      <c r="J60" s="16" t="str">
        <f t="shared" si="1"/>
        <v>Ja</v>
      </c>
      <c r="K60" s="16" t="str">
        <f t="shared" si="2"/>
        <v>Ja</v>
      </c>
      <c r="L60" s="16" t="str">
        <f t="shared" si="3"/>
        <v>Ja</v>
      </c>
      <c r="M60" s="16" t="str">
        <f t="shared" si="4"/>
        <v>Ja</v>
      </c>
      <c r="N60" s="16" t="str">
        <f t="shared" si="5"/>
        <v>Ja</v>
      </c>
      <c r="O60" s="16">
        <f>'Club details'!$B$8</f>
        <v>0</v>
      </c>
      <c r="P60" s="16"/>
      <c r="Q60" s="41">
        <v>54</v>
      </c>
      <c r="R60" s="16" t="str">
        <f t="shared" si="6"/>
        <v/>
      </c>
    </row>
    <row r="61" spans="1:18" x14ac:dyDescent="0.25">
      <c r="A61" s="39">
        <v>55</v>
      </c>
      <c r="B61" s="16">
        <f>Participants!B63</f>
        <v>0</v>
      </c>
      <c r="C61" s="16">
        <f>Participants!C63</f>
        <v>0</v>
      </c>
      <c r="D61" s="16">
        <f>Participants!D63</f>
        <v>0</v>
      </c>
      <c r="E61" s="40">
        <f>Participants!$C$1</f>
        <v>0</v>
      </c>
      <c r="F61" s="16" t="str">
        <f>IF(Participants!O63="Yes","Ja",IF(Participants!O63="Partly",Participants!P63,"Nee"))</f>
        <v>Nee</v>
      </c>
      <c r="G61" s="16" t="str">
        <f>Participants!E63</f>
        <v>15+</v>
      </c>
      <c r="H61" s="16" t="str">
        <f>Participants!H63</f>
        <v>-</v>
      </c>
      <c r="I61" s="16" t="str">
        <f t="shared" si="0"/>
        <v>Ja</v>
      </c>
      <c r="J61" s="16" t="str">
        <f t="shared" si="1"/>
        <v>Ja</v>
      </c>
      <c r="K61" s="16" t="str">
        <f t="shared" si="2"/>
        <v>Ja</v>
      </c>
      <c r="L61" s="16" t="str">
        <f t="shared" si="3"/>
        <v>Ja</v>
      </c>
      <c r="M61" s="16" t="str">
        <f t="shared" si="4"/>
        <v>Ja</v>
      </c>
      <c r="N61" s="16" t="str">
        <f t="shared" si="5"/>
        <v>Ja</v>
      </c>
      <c r="O61" s="16">
        <f>'Club details'!$B$8</f>
        <v>0</v>
      </c>
      <c r="P61" s="16"/>
      <c r="Q61" s="41">
        <v>55</v>
      </c>
      <c r="R61" s="16" t="str">
        <f t="shared" si="6"/>
        <v/>
      </c>
    </row>
    <row r="62" spans="1:18" x14ac:dyDescent="0.25">
      <c r="A62" s="39">
        <v>56</v>
      </c>
      <c r="B62" s="16">
        <f>Participants!B64</f>
        <v>0</v>
      </c>
      <c r="C62" s="16">
        <f>Participants!C64</f>
        <v>0</v>
      </c>
      <c r="D62" s="16">
        <f>Participants!D64</f>
        <v>0</v>
      </c>
      <c r="E62" s="40">
        <f>Participants!$C$1</f>
        <v>0</v>
      </c>
      <c r="F62" s="16" t="str">
        <f>IF(Participants!O64="Yes","Ja",IF(Participants!O64="Partly",Participants!P64,"Nee"))</f>
        <v>Nee</v>
      </c>
      <c r="G62" s="16" t="str">
        <f>Participants!E64</f>
        <v>15+</v>
      </c>
      <c r="H62" s="16" t="str">
        <f>Participants!H64</f>
        <v>-</v>
      </c>
      <c r="I62" s="16" t="str">
        <f t="shared" si="0"/>
        <v>Ja</v>
      </c>
      <c r="J62" s="16" t="str">
        <f t="shared" si="1"/>
        <v>Ja</v>
      </c>
      <c r="K62" s="16" t="str">
        <f t="shared" si="2"/>
        <v>Ja</v>
      </c>
      <c r="L62" s="16" t="str">
        <f t="shared" si="3"/>
        <v>Ja</v>
      </c>
      <c r="M62" s="16" t="str">
        <f t="shared" si="4"/>
        <v>Ja</v>
      </c>
      <c r="N62" s="16" t="str">
        <f t="shared" si="5"/>
        <v>Ja</v>
      </c>
      <c r="O62" s="16">
        <f>'Club details'!$B$8</f>
        <v>0</v>
      </c>
      <c r="P62" s="16"/>
      <c r="Q62" s="41">
        <v>56</v>
      </c>
      <c r="R62" s="16" t="str">
        <f t="shared" si="6"/>
        <v/>
      </c>
    </row>
    <row r="63" spans="1:18" x14ac:dyDescent="0.25">
      <c r="A63" s="39">
        <v>57</v>
      </c>
      <c r="B63" s="16">
        <f>Participants!B65</f>
        <v>0</v>
      </c>
      <c r="C63" s="16">
        <f>Participants!C65</f>
        <v>0</v>
      </c>
      <c r="D63" s="16">
        <f>Participants!D65</f>
        <v>0</v>
      </c>
      <c r="E63" s="40">
        <f>Participants!$C$1</f>
        <v>0</v>
      </c>
      <c r="F63" s="16" t="str">
        <f>IF(Participants!O65="Yes","Ja",IF(Participants!O65="Partly",Participants!P65,"Nee"))</f>
        <v>Nee</v>
      </c>
      <c r="G63" s="16" t="str">
        <f>Participants!E65</f>
        <v>15+</v>
      </c>
      <c r="H63" s="16" t="str">
        <f>Participants!H65</f>
        <v>-</v>
      </c>
      <c r="I63" s="16" t="str">
        <f t="shared" si="0"/>
        <v>Ja</v>
      </c>
      <c r="J63" s="16" t="str">
        <f t="shared" si="1"/>
        <v>Ja</v>
      </c>
      <c r="K63" s="16" t="str">
        <f t="shared" si="2"/>
        <v>Ja</v>
      </c>
      <c r="L63" s="16" t="str">
        <f t="shared" si="3"/>
        <v>Ja</v>
      </c>
      <c r="M63" s="16" t="str">
        <f t="shared" si="4"/>
        <v>Ja</v>
      </c>
      <c r="N63" s="16" t="str">
        <f t="shared" si="5"/>
        <v>Ja</v>
      </c>
      <c r="O63" s="16">
        <f>'Club details'!$B$8</f>
        <v>0</v>
      </c>
      <c r="P63" s="16"/>
      <c r="Q63" s="41">
        <v>57</v>
      </c>
      <c r="R63" s="16" t="str">
        <f t="shared" si="6"/>
        <v/>
      </c>
    </row>
    <row r="64" spans="1:18" x14ac:dyDescent="0.25">
      <c r="A64" s="39">
        <v>58</v>
      </c>
      <c r="B64" s="16">
        <f>Participants!B66</f>
        <v>0</v>
      </c>
      <c r="C64" s="16">
        <f>Participants!C66</f>
        <v>0</v>
      </c>
      <c r="D64" s="16">
        <f>Participants!D66</f>
        <v>0</v>
      </c>
      <c r="E64" s="40">
        <f>Participants!$C$1</f>
        <v>0</v>
      </c>
      <c r="F64" s="16" t="str">
        <f>IF(Participants!O66="Yes","Ja",IF(Participants!O66="Partly",Participants!P66,"Nee"))</f>
        <v>Nee</v>
      </c>
      <c r="G64" s="16" t="str">
        <f>Participants!E66</f>
        <v>15+</v>
      </c>
      <c r="H64" s="16" t="str">
        <f>Participants!H66</f>
        <v>-</v>
      </c>
      <c r="I64" s="16" t="str">
        <f t="shared" si="0"/>
        <v>Ja</v>
      </c>
      <c r="J64" s="16" t="str">
        <f t="shared" si="1"/>
        <v>Ja</v>
      </c>
      <c r="K64" s="16" t="str">
        <f t="shared" si="2"/>
        <v>Ja</v>
      </c>
      <c r="L64" s="16" t="str">
        <f t="shared" si="3"/>
        <v>Ja</v>
      </c>
      <c r="M64" s="16" t="str">
        <f t="shared" si="4"/>
        <v>Ja</v>
      </c>
      <c r="N64" s="16" t="str">
        <f t="shared" si="5"/>
        <v>Ja</v>
      </c>
      <c r="O64" s="16">
        <f>'Club details'!$B$8</f>
        <v>0</v>
      </c>
      <c r="P64" s="16"/>
      <c r="Q64" s="41">
        <v>58</v>
      </c>
      <c r="R64" s="16" t="str">
        <f t="shared" si="6"/>
        <v/>
      </c>
    </row>
    <row r="65" spans="1:18" x14ac:dyDescent="0.25">
      <c r="A65" s="39">
        <v>59</v>
      </c>
      <c r="B65" s="16">
        <f>Participants!B67</f>
        <v>0</v>
      </c>
      <c r="C65" s="16">
        <f>Participants!C67</f>
        <v>0</v>
      </c>
      <c r="D65" s="16">
        <f>Participants!D67</f>
        <v>0</v>
      </c>
      <c r="E65" s="40">
        <f>Participants!$C$1</f>
        <v>0</v>
      </c>
      <c r="F65" s="16" t="str">
        <f>IF(Participants!O67="Yes","Ja",IF(Participants!O67="Partly",Participants!P67,"Nee"))</f>
        <v>Nee</v>
      </c>
      <c r="G65" s="16" t="str">
        <f>Participants!E67</f>
        <v>15+</v>
      </c>
      <c r="H65" s="16" t="str">
        <f>Participants!H67</f>
        <v>-</v>
      </c>
      <c r="I65" s="16" t="str">
        <f t="shared" si="0"/>
        <v>Ja</v>
      </c>
      <c r="J65" s="16" t="str">
        <f t="shared" si="1"/>
        <v>Ja</v>
      </c>
      <c r="K65" s="16" t="str">
        <f t="shared" si="2"/>
        <v>Ja</v>
      </c>
      <c r="L65" s="16" t="str">
        <f t="shared" si="3"/>
        <v>Ja</v>
      </c>
      <c r="M65" s="16" t="str">
        <f t="shared" si="4"/>
        <v>Ja</v>
      </c>
      <c r="N65" s="16" t="str">
        <f t="shared" si="5"/>
        <v>Ja</v>
      </c>
      <c r="O65" s="16">
        <f>'Club details'!$B$8</f>
        <v>0</v>
      </c>
      <c r="P65" s="16"/>
      <c r="Q65" s="41">
        <v>59</v>
      </c>
      <c r="R65" s="16" t="str">
        <f t="shared" si="6"/>
        <v/>
      </c>
    </row>
    <row r="66" spans="1:18" x14ac:dyDescent="0.25">
      <c r="A66" s="39">
        <v>60</v>
      </c>
      <c r="B66" s="16">
        <f>Participants!B68</f>
        <v>0</v>
      </c>
      <c r="C66" s="16">
        <f>Participants!C68</f>
        <v>0</v>
      </c>
      <c r="D66" s="16">
        <f>Participants!D68</f>
        <v>0</v>
      </c>
      <c r="E66" s="40">
        <f>Participants!$C$1</f>
        <v>0</v>
      </c>
      <c r="F66" s="16" t="str">
        <f>IF(Participants!O68="Yes","Ja",IF(Participants!O68="Partly",Participants!P68,"Nee"))</f>
        <v>Nee</v>
      </c>
      <c r="G66" s="16" t="str">
        <f>Participants!E68</f>
        <v>15+</v>
      </c>
      <c r="H66" s="16" t="str">
        <f>Participants!H68</f>
        <v>-</v>
      </c>
      <c r="I66" s="16" t="str">
        <f t="shared" si="0"/>
        <v>Ja</v>
      </c>
      <c r="J66" s="16" t="str">
        <f t="shared" si="1"/>
        <v>Ja</v>
      </c>
      <c r="K66" s="16" t="str">
        <f t="shared" si="2"/>
        <v>Ja</v>
      </c>
      <c r="L66" s="16" t="str">
        <f t="shared" si="3"/>
        <v>Ja</v>
      </c>
      <c r="M66" s="16" t="str">
        <f t="shared" si="4"/>
        <v>Ja</v>
      </c>
      <c r="N66" s="16" t="str">
        <f t="shared" si="5"/>
        <v>Ja</v>
      </c>
      <c r="O66" s="16">
        <f>'Club details'!$B$8</f>
        <v>0</v>
      </c>
      <c r="P66" s="16"/>
      <c r="Q66" s="41">
        <v>60</v>
      </c>
      <c r="R66" s="16" t="str">
        <f t="shared" si="6"/>
        <v/>
      </c>
    </row>
    <row r="67" spans="1:18" x14ac:dyDescent="0.25">
      <c r="A67" s="39">
        <v>61</v>
      </c>
      <c r="B67" s="16">
        <f>Participants!B69</f>
        <v>0</v>
      </c>
      <c r="C67" s="16">
        <f>Participants!C69</f>
        <v>0</v>
      </c>
      <c r="D67" s="16">
        <f>Participants!D69</f>
        <v>0</v>
      </c>
      <c r="E67" s="40">
        <f>Participants!$C$1</f>
        <v>0</v>
      </c>
      <c r="F67" s="16" t="str">
        <f>IF(Participants!O69="Yes","Ja",IF(Participants!O69="Partly",Participants!P69,"Nee"))</f>
        <v>Nee</v>
      </c>
      <c r="G67" s="16" t="str">
        <f>Participants!E69</f>
        <v>15+</v>
      </c>
      <c r="H67" s="16" t="str">
        <f>Participants!H69</f>
        <v>-</v>
      </c>
      <c r="I67" s="16" t="str">
        <f t="shared" si="0"/>
        <v>Ja</v>
      </c>
      <c r="J67" s="16" t="str">
        <f t="shared" si="1"/>
        <v>Ja</v>
      </c>
      <c r="K67" s="16" t="str">
        <f t="shared" si="2"/>
        <v>Ja</v>
      </c>
      <c r="L67" s="16" t="str">
        <f t="shared" si="3"/>
        <v>Ja</v>
      </c>
      <c r="M67" s="16" t="str">
        <f t="shared" si="4"/>
        <v>Ja</v>
      </c>
      <c r="N67" s="16" t="str">
        <f t="shared" si="5"/>
        <v>Ja</v>
      </c>
      <c r="O67" s="16">
        <f>'Club details'!$B$8</f>
        <v>0</v>
      </c>
      <c r="P67" s="16"/>
      <c r="Q67" s="41">
        <v>61</v>
      </c>
      <c r="R67" s="16" t="str">
        <f t="shared" si="6"/>
        <v/>
      </c>
    </row>
    <row r="68" spans="1:18" x14ac:dyDescent="0.25">
      <c r="A68" s="39">
        <v>62</v>
      </c>
      <c r="B68" s="16">
        <f>Participants!B70</f>
        <v>0</v>
      </c>
      <c r="C68" s="16">
        <f>Participants!C70</f>
        <v>0</v>
      </c>
      <c r="D68" s="16">
        <f>Participants!D70</f>
        <v>0</v>
      </c>
      <c r="E68" s="40">
        <f>Participants!$C$1</f>
        <v>0</v>
      </c>
      <c r="F68" s="16" t="str">
        <f>IF(Participants!O70="Yes","Ja",IF(Participants!O70="Partly",Participants!P70,"Nee"))</f>
        <v>Nee</v>
      </c>
      <c r="G68" s="16" t="str">
        <f>Participants!E70</f>
        <v>15+</v>
      </c>
      <c r="H68" s="16" t="str">
        <f>Participants!H70</f>
        <v>-</v>
      </c>
      <c r="I68" s="16" t="str">
        <f t="shared" si="0"/>
        <v>Ja</v>
      </c>
      <c r="J68" s="16" t="str">
        <f t="shared" si="1"/>
        <v>Ja</v>
      </c>
      <c r="K68" s="16" t="str">
        <f t="shared" si="2"/>
        <v>Ja</v>
      </c>
      <c r="L68" s="16" t="str">
        <f t="shared" si="3"/>
        <v>Ja</v>
      </c>
      <c r="M68" s="16" t="str">
        <f t="shared" si="4"/>
        <v>Ja</v>
      </c>
      <c r="N68" s="16" t="str">
        <f t="shared" si="5"/>
        <v>Ja</v>
      </c>
      <c r="O68" s="16">
        <f>'Club details'!$B$8</f>
        <v>0</v>
      </c>
      <c r="P68" s="16"/>
      <c r="Q68" s="41">
        <v>62</v>
      </c>
      <c r="R68" s="16" t="str">
        <f t="shared" si="6"/>
        <v/>
      </c>
    </row>
    <row r="69" spans="1:18" x14ac:dyDescent="0.25">
      <c r="A69" s="39">
        <v>63</v>
      </c>
      <c r="B69" s="16">
        <f>Participants!B71</f>
        <v>0</v>
      </c>
      <c r="C69" s="16">
        <f>Participants!C71</f>
        <v>0</v>
      </c>
      <c r="D69" s="16">
        <f>Participants!D71</f>
        <v>0</v>
      </c>
      <c r="E69" s="40">
        <f>Participants!$C$1</f>
        <v>0</v>
      </c>
      <c r="F69" s="16" t="str">
        <f>IF(Participants!O71="Yes","Ja",IF(Participants!O71="Partly",Participants!P71,"Nee"))</f>
        <v>Nee</v>
      </c>
      <c r="G69" s="16" t="str">
        <f>Participants!E71</f>
        <v>15+</v>
      </c>
      <c r="H69" s="16" t="str">
        <f>Participants!H71</f>
        <v>-</v>
      </c>
      <c r="I69" s="16" t="str">
        <f t="shared" si="0"/>
        <v>Ja</v>
      </c>
      <c r="J69" s="16" t="str">
        <f t="shared" si="1"/>
        <v>Ja</v>
      </c>
      <c r="K69" s="16" t="str">
        <f t="shared" si="2"/>
        <v>Ja</v>
      </c>
      <c r="L69" s="16" t="str">
        <f t="shared" si="3"/>
        <v>Ja</v>
      </c>
      <c r="M69" s="16" t="str">
        <f t="shared" si="4"/>
        <v>Ja</v>
      </c>
      <c r="N69" s="16" t="str">
        <f t="shared" si="5"/>
        <v>Ja</v>
      </c>
      <c r="O69" s="16">
        <f>'Club details'!$B$8</f>
        <v>0</v>
      </c>
      <c r="P69" s="16"/>
      <c r="Q69" s="41">
        <v>63</v>
      </c>
      <c r="R69" s="16" t="str">
        <f t="shared" si="6"/>
        <v/>
      </c>
    </row>
    <row r="70" spans="1:18" x14ac:dyDescent="0.25">
      <c r="A70" s="39">
        <v>64</v>
      </c>
      <c r="B70" s="16">
        <f>Participants!B72</f>
        <v>0</v>
      </c>
      <c r="C70" s="16">
        <f>Participants!C72</f>
        <v>0</v>
      </c>
      <c r="D70" s="16">
        <f>Participants!D72</f>
        <v>0</v>
      </c>
      <c r="E70" s="40">
        <f>Participants!$C$1</f>
        <v>0</v>
      </c>
      <c r="F70" s="16" t="str">
        <f>IF(Participants!O72="Yes","Ja",IF(Participants!O72="Partly",Participants!P72,"Nee"))</f>
        <v>Nee</v>
      </c>
      <c r="G70" s="16" t="str">
        <f>Participants!E72</f>
        <v>15+</v>
      </c>
      <c r="H70" s="16" t="str">
        <f>Participants!H72</f>
        <v>-</v>
      </c>
      <c r="I70" s="16" t="str">
        <f t="shared" si="0"/>
        <v>Ja</v>
      </c>
      <c r="J70" s="16" t="str">
        <f t="shared" si="1"/>
        <v>Ja</v>
      </c>
      <c r="K70" s="16" t="str">
        <f t="shared" si="2"/>
        <v>Ja</v>
      </c>
      <c r="L70" s="16" t="str">
        <f t="shared" si="3"/>
        <v>Ja</v>
      </c>
      <c r="M70" s="16" t="str">
        <f t="shared" si="4"/>
        <v>Ja</v>
      </c>
      <c r="N70" s="16" t="str">
        <f t="shared" si="5"/>
        <v>Ja</v>
      </c>
      <c r="O70" s="16">
        <f>'Club details'!$B$8</f>
        <v>0</v>
      </c>
      <c r="P70" s="16"/>
      <c r="Q70" s="41">
        <v>64</v>
      </c>
      <c r="R70" s="16" t="str">
        <f t="shared" si="6"/>
        <v/>
      </c>
    </row>
    <row r="71" spans="1:18" x14ac:dyDescent="0.25">
      <c r="A71" s="39">
        <v>65</v>
      </c>
      <c r="B71" s="16">
        <f>Participants!B73</f>
        <v>0</v>
      </c>
      <c r="C71" s="16">
        <f>Participants!C73</f>
        <v>0</v>
      </c>
      <c r="D71" s="16">
        <f>Participants!D73</f>
        <v>0</v>
      </c>
      <c r="E71" s="40">
        <f>Participants!$C$1</f>
        <v>0</v>
      </c>
      <c r="F71" s="16" t="str">
        <f>IF(Participants!O73="Yes","Ja",IF(Participants!O73="Partly",Participants!P73,"Nee"))</f>
        <v>Nee</v>
      </c>
      <c r="G71" s="16" t="str">
        <f>Participants!E73</f>
        <v>15+</v>
      </c>
      <c r="H71" s="16" t="str">
        <f>Participants!H73</f>
        <v>-</v>
      </c>
      <c r="I71" s="16" t="str">
        <f t="shared" si="0"/>
        <v>Ja</v>
      </c>
      <c r="J71" s="16" t="str">
        <f t="shared" si="1"/>
        <v>Ja</v>
      </c>
      <c r="K71" s="16" t="str">
        <f t="shared" si="2"/>
        <v>Ja</v>
      </c>
      <c r="L71" s="16" t="str">
        <f t="shared" si="3"/>
        <v>Ja</v>
      </c>
      <c r="M71" s="16" t="str">
        <f t="shared" si="4"/>
        <v>Ja</v>
      </c>
      <c r="N71" s="16" t="str">
        <f t="shared" si="5"/>
        <v>Ja</v>
      </c>
      <c r="O71" s="16">
        <f>'Club details'!$B$8</f>
        <v>0</v>
      </c>
      <c r="P71" s="16"/>
      <c r="Q71" s="41">
        <v>65</v>
      </c>
      <c r="R71" s="16" t="str">
        <f t="shared" si="6"/>
        <v/>
      </c>
    </row>
    <row r="72" spans="1:18" x14ac:dyDescent="0.25">
      <c r="A72" s="39">
        <v>66</v>
      </c>
      <c r="B72" s="16">
        <f>Participants!B74</f>
        <v>0</v>
      </c>
      <c r="C72" s="16">
        <f>Participants!C74</f>
        <v>0</v>
      </c>
      <c r="D72" s="16">
        <f>Participants!D74</f>
        <v>0</v>
      </c>
      <c r="E72" s="40">
        <f>Participants!$C$1</f>
        <v>0</v>
      </c>
      <c r="F72" s="16" t="str">
        <f>IF(Participants!O74="Yes","Ja",IF(Participants!O74="Partly",Participants!P74,"Nee"))</f>
        <v>Nee</v>
      </c>
      <c r="G72" s="16" t="str">
        <f>Participants!E74</f>
        <v>15+</v>
      </c>
      <c r="H72" s="16" t="str">
        <f>Participants!H74</f>
        <v>-</v>
      </c>
      <c r="I72" s="16" t="str">
        <f t="shared" ref="I72:I81" si="7">IF($H72&gt;0, "Ja", "Nee")</f>
        <v>Ja</v>
      </c>
      <c r="J72" s="16" t="str">
        <f t="shared" ref="J72:J81" si="8">IF($H72&gt;1, "Ja", "Nee")</f>
        <v>Ja</v>
      </c>
      <c r="K72" s="16" t="str">
        <f t="shared" ref="K72:K81" si="9">IF($H72&gt;2, "Ja", "Nee")</f>
        <v>Ja</v>
      </c>
      <c r="L72" s="16" t="str">
        <f t="shared" ref="L72:L81" si="10">IF($H72&gt;3, "Ja", "Nee")</f>
        <v>Ja</v>
      </c>
      <c r="M72" s="16" t="str">
        <f t="shared" ref="M72:M81" si="11">IF($H72&gt;4, "Ja", "Nee")</f>
        <v>Ja</v>
      </c>
      <c r="N72" s="16" t="str">
        <f t="shared" ref="N72:N81" si="12">IF($H72&gt;5, "Ja", "Nee")</f>
        <v>Ja</v>
      </c>
      <c r="O72" s="16">
        <f>'Club details'!$B$8</f>
        <v>0</v>
      </c>
      <c r="P72" s="16"/>
      <c r="Q72" s="41">
        <v>66</v>
      </c>
      <c r="R72" s="16" t="str">
        <f t="shared" ref="R72:R81" si="13">IF( ISTEXT(C72), CONCATENATE( UPPER(C72), "; ", B72), "")</f>
        <v/>
      </c>
    </row>
    <row r="73" spans="1:18" x14ac:dyDescent="0.25">
      <c r="A73" s="39">
        <v>67</v>
      </c>
      <c r="B73" s="16">
        <f>Participants!B75</f>
        <v>0</v>
      </c>
      <c r="C73" s="16">
        <f>Participants!C75</f>
        <v>0</v>
      </c>
      <c r="D73" s="16">
        <f>Participants!D75</f>
        <v>0</v>
      </c>
      <c r="E73" s="40">
        <f>Participants!$C$1</f>
        <v>0</v>
      </c>
      <c r="F73" s="16" t="str">
        <f>IF(Participants!O75="Yes","Ja",IF(Participants!O75="Partly",Participants!P75,"Nee"))</f>
        <v>Nee</v>
      </c>
      <c r="G73" s="16" t="str">
        <f>Participants!E75</f>
        <v>15+</v>
      </c>
      <c r="H73" s="16" t="str">
        <f>Participants!H75</f>
        <v>-</v>
      </c>
      <c r="I73" s="16" t="str">
        <f t="shared" si="7"/>
        <v>Ja</v>
      </c>
      <c r="J73" s="16" t="str">
        <f t="shared" si="8"/>
        <v>Ja</v>
      </c>
      <c r="K73" s="16" t="str">
        <f t="shared" si="9"/>
        <v>Ja</v>
      </c>
      <c r="L73" s="16" t="str">
        <f t="shared" si="10"/>
        <v>Ja</v>
      </c>
      <c r="M73" s="16" t="str">
        <f t="shared" si="11"/>
        <v>Ja</v>
      </c>
      <c r="N73" s="16" t="str">
        <f t="shared" si="12"/>
        <v>Ja</v>
      </c>
      <c r="O73" s="16">
        <f>'Club details'!$B$8</f>
        <v>0</v>
      </c>
      <c r="P73" s="16"/>
      <c r="Q73" s="41">
        <v>67</v>
      </c>
      <c r="R73" s="16" t="str">
        <f t="shared" si="13"/>
        <v/>
      </c>
    </row>
    <row r="74" spans="1:18" x14ac:dyDescent="0.25">
      <c r="A74" s="39">
        <v>68</v>
      </c>
      <c r="B74" s="16">
        <f>Participants!B76</f>
        <v>0</v>
      </c>
      <c r="C74" s="16">
        <f>Participants!C76</f>
        <v>0</v>
      </c>
      <c r="D74" s="16">
        <f>Participants!D76</f>
        <v>0</v>
      </c>
      <c r="E74" s="40">
        <f>Participants!$C$1</f>
        <v>0</v>
      </c>
      <c r="F74" s="16" t="str">
        <f>IF(Participants!O76="Yes","Ja",IF(Participants!O76="Partly",Participants!P76,"Nee"))</f>
        <v>Nee</v>
      </c>
      <c r="G74" s="16" t="str">
        <f>Participants!E76</f>
        <v>15+</v>
      </c>
      <c r="H74" s="16" t="str">
        <f>Participants!H76</f>
        <v>-</v>
      </c>
      <c r="I74" s="16" t="str">
        <f t="shared" si="7"/>
        <v>Ja</v>
      </c>
      <c r="J74" s="16" t="str">
        <f t="shared" si="8"/>
        <v>Ja</v>
      </c>
      <c r="K74" s="16" t="str">
        <f t="shared" si="9"/>
        <v>Ja</v>
      </c>
      <c r="L74" s="16" t="str">
        <f t="shared" si="10"/>
        <v>Ja</v>
      </c>
      <c r="M74" s="16" t="str">
        <f t="shared" si="11"/>
        <v>Ja</v>
      </c>
      <c r="N74" s="16" t="str">
        <f t="shared" si="12"/>
        <v>Ja</v>
      </c>
      <c r="O74" s="16">
        <f>'Club details'!$B$8</f>
        <v>0</v>
      </c>
      <c r="P74" s="16"/>
      <c r="Q74" s="41">
        <v>68</v>
      </c>
      <c r="R74" s="16" t="str">
        <f t="shared" si="13"/>
        <v/>
      </c>
    </row>
    <row r="75" spans="1:18" x14ac:dyDescent="0.25">
      <c r="A75" s="39">
        <v>69</v>
      </c>
      <c r="B75" s="16">
        <f>Participants!B77</f>
        <v>0</v>
      </c>
      <c r="C75" s="16">
        <f>Participants!C77</f>
        <v>0</v>
      </c>
      <c r="D75" s="16">
        <f>Participants!D77</f>
        <v>0</v>
      </c>
      <c r="E75" s="40">
        <f>Participants!$C$1</f>
        <v>0</v>
      </c>
      <c r="F75" s="16" t="str">
        <f>IF(Participants!O77="Yes","Ja",IF(Participants!O77="Partly",Participants!P77,"Nee"))</f>
        <v>Nee</v>
      </c>
      <c r="G75" s="16" t="str">
        <f>Participants!E77</f>
        <v>15+</v>
      </c>
      <c r="H75" s="16" t="str">
        <f>Participants!H77</f>
        <v>-</v>
      </c>
      <c r="I75" s="16" t="str">
        <f t="shared" si="7"/>
        <v>Ja</v>
      </c>
      <c r="J75" s="16" t="str">
        <f t="shared" si="8"/>
        <v>Ja</v>
      </c>
      <c r="K75" s="16" t="str">
        <f t="shared" si="9"/>
        <v>Ja</v>
      </c>
      <c r="L75" s="16" t="str">
        <f t="shared" si="10"/>
        <v>Ja</v>
      </c>
      <c r="M75" s="16" t="str">
        <f t="shared" si="11"/>
        <v>Ja</v>
      </c>
      <c r="N75" s="16" t="str">
        <f t="shared" si="12"/>
        <v>Ja</v>
      </c>
      <c r="O75" s="16">
        <f>'Club details'!$B$8</f>
        <v>0</v>
      </c>
      <c r="P75" s="16"/>
      <c r="Q75" s="41">
        <v>69</v>
      </c>
      <c r="R75" s="16" t="str">
        <f t="shared" si="13"/>
        <v/>
      </c>
    </row>
    <row r="76" spans="1:18" x14ac:dyDescent="0.25">
      <c r="A76" s="39">
        <v>70</v>
      </c>
      <c r="B76" s="16">
        <f>Participants!B78</f>
        <v>0</v>
      </c>
      <c r="C76" s="16">
        <f>Participants!C78</f>
        <v>0</v>
      </c>
      <c r="D76" s="16">
        <f>Participants!D78</f>
        <v>0</v>
      </c>
      <c r="E76" s="40">
        <f>Participants!$C$1</f>
        <v>0</v>
      </c>
      <c r="F76" s="16" t="str">
        <f>IF(Participants!O78="Yes","Ja",IF(Participants!O78="Partly",Participants!P78,"Nee"))</f>
        <v>Nee</v>
      </c>
      <c r="G76" s="16" t="str">
        <f>Participants!E78</f>
        <v>15+</v>
      </c>
      <c r="H76" s="16" t="str">
        <f>Participants!H78</f>
        <v>-</v>
      </c>
      <c r="I76" s="16" t="str">
        <f t="shared" si="7"/>
        <v>Ja</v>
      </c>
      <c r="J76" s="16" t="str">
        <f t="shared" si="8"/>
        <v>Ja</v>
      </c>
      <c r="K76" s="16" t="str">
        <f t="shared" si="9"/>
        <v>Ja</v>
      </c>
      <c r="L76" s="16" t="str">
        <f t="shared" si="10"/>
        <v>Ja</v>
      </c>
      <c r="M76" s="16" t="str">
        <f t="shared" si="11"/>
        <v>Ja</v>
      </c>
      <c r="N76" s="16" t="str">
        <f t="shared" si="12"/>
        <v>Ja</v>
      </c>
      <c r="O76" s="16">
        <f>'Club details'!$B$8</f>
        <v>0</v>
      </c>
      <c r="P76" s="16"/>
      <c r="Q76" s="41">
        <v>70</v>
      </c>
      <c r="R76" s="16" t="str">
        <f t="shared" si="13"/>
        <v/>
      </c>
    </row>
    <row r="77" spans="1:18" x14ac:dyDescent="0.25">
      <c r="A77" s="39">
        <v>71</v>
      </c>
      <c r="B77" s="16">
        <f>Participants!B79</f>
        <v>0</v>
      </c>
      <c r="C77" s="16">
        <f>Participants!C79</f>
        <v>0</v>
      </c>
      <c r="D77" s="16">
        <f>Participants!D79</f>
        <v>0</v>
      </c>
      <c r="E77" s="40">
        <f>Participants!$C$1</f>
        <v>0</v>
      </c>
      <c r="F77" s="16" t="str">
        <f>IF(Participants!O79="Yes","Ja",IF(Participants!O79="Partly",Participants!P79,"Nee"))</f>
        <v>Nee</v>
      </c>
      <c r="G77" s="16" t="str">
        <f>Participants!E79</f>
        <v>15+</v>
      </c>
      <c r="H77" s="16" t="str">
        <f>Participants!H79</f>
        <v>-</v>
      </c>
      <c r="I77" s="16" t="str">
        <f t="shared" si="7"/>
        <v>Ja</v>
      </c>
      <c r="J77" s="16" t="str">
        <f t="shared" si="8"/>
        <v>Ja</v>
      </c>
      <c r="K77" s="16" t="str">
        <f t="shared" si="9"/>
        <v>Ja</v>
      </c>
      <c r="L77" s="16" t="str">
        <f t="shared" si="10"/>
        <v>Ja</v>
      </c>
      <c r="M77" s="16" t="str">
        <f t="shared" si="11"/>
        <v>Ja</v>
      </c>
      <c r="N77" s="16" t="str">
        <f t="shared" si="12"/>
        <v>Ja</v>
      </c>
      <c r="O77" s="16">
        <f>'Club details'!$B$8</f>
        <v>0</v>
      </c>
      <c r="P77" s="16"/>
      <c r="Q77" s="41">
        <v>71</v>
      </c>
      <c r="R77" s="16" t="str">
        <f t="shared" si="13"/>
        <v/>
      </c>
    </row>
    <row r="78" spans="1:18" x14ac:dyDescent="0.25">
      <c r="A78" s="39">
        <v>72</v>
      </c>
      <c r="B78" s="16">
        <f>Participants!B80</f>
        <v>0</v>
      </c>
      <c r="C78" s="16">
        <f>Participants!C80</f>
        <v>0</v>
      </c>
      <c r="D78" s="16">
        <f>Participants!D80</f>
        <v>0</v>
      </c>
      <c r="E78" s="40">
        <f>Participants!$C$1</f>
        <v>0</v>
      </c>
      <c r="F78" s="16" t="str">
        <f>IF(Participants!O80="Yes","Ja",IF(Participants!O80="Partly",Participants!P80,"Nee"))</f>
        <v>Nee</v>
      </c>
      <c r="G78" s="16" t="str">
        <f>Participants!E80</f>
        <v>15+</v>
      </c>
      <c r="H78" s="16" t="str">
        <f>Participants!H80</f>
        <v>-</v>
      </c>
      <c r="I78" s="16" t="str">
        <f t="shared" si="7"/>
        <v>Ja</v>
      </c>
      <c r="J78" s="16" t="str">
        <f t="shared" si="8"/>
        <v>Ja</v>
      </c>
      <c r="K78" s="16" t="str">
        <f t="shared" si="9"/>
        <v>Ja</v>
      </c>
      <c r="L78" s="16" t="str">
        <f t="shared" si="10"/>
        <v>Ja</v>
      </c>
      <c r="M78" s="16" t="str">
        <f t="shared" si="11"/>
        <v>Ja</v>
      </c>
      <c r="N78" s="16" t="str">
        <f t="shared" si="12"/>
        <v>Ja</v>
      </c>
      <c r="O78" s="16">
        <f>'Club details'!$B$8</f>
        <v>0</v>
      </c>
      <c r="P78" s="16"/>
      <c r="Q78" s="41">
        <v>72</v>
      </c>
      <c r="R78" s="16" t="str">
        <f t="shared" si="13"/>
        <v/>
      </c>
    </row>
    <row r="79" spans="1:18" x14ac:dyDescent="0.25">
      <c r="A79" s="39">
        <v>73</v>
      </c>
      <c r="B79" s="16">
        <f>Participants!B81</f>
        <v>0</v>
      </c>
      <c r="C79" s="16">
        <f>Participants!C81</f>
        <v>0</v>
      </c>
      <c r="D79" s="16">
        <f>Participants!D81</f>
        <v>0</v>
      </c>
      <c r="E79" s="40">
        <f>Participants!$C$1</f>
        <v>0</v>
      </c>
      <c r="F79" s="16" t="str">
        <f>IF(Participants!O81="Yes","Ja",IF(Participants!O81="Partly",Participants!P81,"Nee"))</f>
        <v>Nee</v>
      </c>
      <c r="G79" s="16" t="str">
        <f>Participants!E81</f>
        <v>15+</v>
      </c>
      <c r="H79" s="16" t="str">
        <f>Participants!H81</f>
        <v>-</v>
      </c>
      <c r="I79" s="16" t="str">
        <f t="shared" si="7"/>
        <v>Ja</v>
      </c>
      <c r="J79" s="16" t="str">
        <f t="shared" si="8"/>
        <v>Ja</v>
      </c>
      <c r="K79" s="16" t="str">
        <f t="shared" si="9"/>
        <v>Ja</v>
      </c>
      <c r="L79" s="16" t="str">
        <f t="shared" si="10"/>
        <v>Ja</v>
      </c>
      <c r="M79" s="16" t="str">
        <f t="shared" si="11"/>
        <v>Ja</v>
      </c>
      <c r="N79" s="16" t="str">
        <f t="shared" si="12"/>
        <v>Ja</v>
      </c>
      <c r="O79" s="16">
        <f>'Club details'!$B$8</f>
        <v>0</v>
      </c>
      <c r="P79" s="16"/>
      <c r="Q79" s="41">
        <v>73</v>
      </c>
      <c r="R79" s="16" t="str">
        <f t="shared" si="13"/>
        <v/>
      </c>
    </row>
    <row r="80" spans="1:18" x14ac:dyDescent="0.25">
      <c r="A80" s="39">
        <v>74</v>
      </c>
      <c r="B80" s="16">
        <f>Participants!B82</f>
        <v>0</v>
      </c>
      <c r="C80" s="16">
        <f>Participants!C82</f>
        <v>0</v>
      </c>
      <c r="D80" s="16">
        <f>Participants!D82</f>
        <v>0</v>
      </c>
      <c r="E80" s="40">
        <f>Participants!$C$1</f>
        <v>0</v>
      </c>
      <c r="F80" s="16" t="str">
        <f>IF(Participants!O82="Yes","Ja",IF(Participants!O82="Partly",Participants!P82,"Nee"))</f>
        <v>Nee</v>
      </c>
      <c r="G80" s="16" t="str">
        <f>Participants!E82</f>
        <v>15+</v>
      </c>
      <c r="H80" s="16" t="str">
        <f>Participants!H82</f>
        <v>-</v>
      </c>
      <c r="I80" s="16" t="str">
        <f t="shared" si="7"/>
        <v>Ja</v>
      </c>
      <c r="J80" s="16" t="str">
        <f t="shared" si="8"/>
        <v>Ja</v>
      </c>
      <c r="K80" s="16" t="str">
        <f t="shared" si="9"/>
        <v>Ja</v>
      </c>
      <c r="L80" s="16" t="str">
        <f t="shared" si="10"/>
        <v>Ja</v>
      </c>
      <c r="M80" s="16" t="str">
        <f t="shared" si="11"/>
        <v>Ja</v>
      </c>
      <c r="N80" s="16" t="str">
        <f t="shared" si="12"/>
        <v>Ja</v>
      </c>
      <c r="O80" s="16">
        <f>'Club details'!$B$8</f>
        <v>0</v>
      </c>
      <c r="P80" s="16"/>
      <c r="Q80" s="41">
        <v>74</v>
      </c>
      <c r="R80" s="16" t="str">
        <f t="shared" si="13"/>
        <v/>
      </c>
    </row>
    <row r="81" spans="1:18" x14ac:dyDescent="0.25">
      <c r="A81" s="39">
        <v>75</v>
      </c>
      <c r="B81" s="16">
        <f>Participants!B83</f>
        <v>0</v>
      </c>
      <c r="C81" s="16">
        <f>Participants!C83</f>
        <v>0</v>
      </c>
      <c r="D81" s="16">
        <f>Participants!D83</f>
        <v>0</v>
      </c>
      <c r="E81" s="40">
        <f>Participants!$C$1</f>
        <v>0</v>
      </c>
      <c r="F81" s="16" t="str">
        <f>IF(Participants!O83="Yes","Ja",IF(Participants!O83="Partly",Participants!P83,"Nee"))</f>
        <v>Nee</v>
      </c>
      <c r="G81" s="16" t="str">
        <f>Participants!E83</f>
        <v>15+</v>
      </c>
      <c r="H81" s="16" t="str">
        <f>Participants!H83</f>
        <v>-</v>
      </c>
      <c r="I81" s="16" t="str">
        <f t="shared" si="7"/>
        <v>Ja</v>
      </c>
      <c r="J81" s="16" t="str">
        <f t="shared" si="8"/>
        <v>Ja</v>
      </c>
      <c r="K81" s="16" t="str">
        <f t="shared" si="9"/>
        <v>Ja</v>
      </c>
      <c r="L81" s="16" t="str">
        <f t="shared" si="10"/>
        <v>Ja</v>
      </c>
      <c r="M81" s="16" t="str">
        <f t="shared" si="11"/>
        <v>Ja</v>
      </c>
      <c r="N81" s="16" t="str">
        <f t="shared" si="12"/>
        <v>Ja</v>
      </c>
      <c r="O81" s="16">
        <f>'Club details'!$B$8</f>
        <v>0</v>
      </c>
      <c r="P81" s="16"/>
      <c r="Q81" s="41">
        <v>75</v>
      </c>
      <c r="R81" s="16" t="str">
        <f t="shared" si="13"/>
        <v/>
      </c>
    </row>
  </sheetData>
  <sheetProtection algorithmName="SHA-512" hashValue="OTOgvnqacKNBXnwsxWBFWd68xANY0u45Xw069GAGz0W08Cv9bsbWvLntkSjremjRy5e0OIezxOCi4p8qDHjryA==" saltValue="AFMAdLrMFcrYAmfoOkPqgg==" spinCount="100000" sheet="1" objects="1" scenarios="1"/>
  <protectedRanges>
    <protectedRange sqref="P6:R16 B6:O81" name="SorteerLijst"/>
    <protectedRange sqref="P17:R81" name="SorteerLijst_1"/>
  </protectedRanges>
  <mergeCells count="11">
    <mergeCell ref="P3:P5"/>
    <mergeCell ref="Q3:Q5"/>
    <mergeCell ref="R3:R5"/>
    <mergeCell ref="F4:F5"/>
    <mergeCell ref="A1:A5"/>
    <mergeCell ref="B1:C1"/>
    <mergeCell ref="D2:D5"/>
    <mergeCell ref="B3:C5"/>
    <mergeCell ref="E3:E5"/>
    <mergeCell ref="O3:O5"/>
    <mergeCell ref="B2:C2"/>
  </mergeCells>
  <conditionalFormatting sqref="F7:F81">
    <cfRule type="cellIs" dxfId="3" priority="17" operator="equal">
      <formula>"Nee"</formula>
    </cfRule>
    <cfRule type="cellIs" dxfId="2" priority="18" operator="equal">
      <formula>"Ja"</formula>
    </cfRule>
  </conditionalFormatting>
  <conditionalFormatting sqref="G7:H81">
    <cfRule type="cellIs" dxfId="1" priority="15" operator="equal">
      <formula>"15-"</formula>
    </cfRule>
    <cfRule type="cellIs" dxfId="0" priority="16" operator="equal">
      <formula>"15+"</formula>
    </cfRule>
  </conditionalFormatting>
  <dataValidations disablePrompts="1" count="3">
    <dataValidation type="list" showInputMessage="1" showErrorMessage="1" sqref="I7:N81" xr:uid="{00000000-0002-0000-0200-000000000000}">
      <formula1>JaNee</formula1>
    </dataValidation>
    <dataValidation type="list" allowBlank="1" showInputMessage="1" showErrorMessage="1" sqref="G7:G81" xr:uid="{00000000-0002-0000-0200-000001000000}">
      <formula1>CategorieWaarden</formula1>
    </dataValidation>
    <dataValidation type="list" showInputMessage="1" showErrorMessage="1" sqref="F7:F81" xr:uid="{00000000-0002-0000-0200-000002000000}">
      <formula1>JaNeeNed</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1:Q26"/>
  <sheetViews>
    <sheetView showGridLines="0" workbookViewId="0">
      <selection activeCell="O20" sqref="O20"/>
    </sheetView>
  </sheetViews>
  <sheetFormatPr defaultColWidth="11" defaultRowHeight="15.75" x14ac:dyDescent="0.25"/>
  <cols>
    <col min="1" max="1" width="3.125" customWidth="1"/>
    <col min="2" max="2" width="10.875" bestFit="1" customWidth="1"/>
    <col min="3" max="3" width="3.875" customWidth="1"/>
    <col min="4" max="4" width="16.625" customWidth="1"/>
    <col min="5" max="5" width="4.5" customWidth="1"/>
    <col min="6" max="6" width="15.375" customWidth="1"/>
    <col min="7" max="7" width="4.5" customWidth="1"/>
    <col min="9" max="9" width="4.875" customWidth="1"/>
    <col min="10" max="10" width="14.625" customWidth="1"/>
    <col min="12" max="12" width="13.375" customWidth="1"/>
    <col min="14" max="14" width="6.5" style="103" bestFit="1" customWidth="1"/>
    <col min="15" max="15" width="21.75" customWidth="1"/>
    <col min="16" max="16" width="8" bestFit="1" customWidth="1"/>
    <col min="17" max="17" width="9.875" bestFit="1" customWidth="1"/>
  </cols>
  <sheetData>
    <row r="1" spans="2:17" ht="16.5" thickBot="1" x14ac:dyDescent="0.3"/>
    <row r="2" spans="2:17" ht="16.5" thickBot="1" x14ac:dyDescent="0.3">
      <c r="B2" s="1" t="s">
        <v>19</v>
      </c>
      <c r="D2" s="64" t="s">
        <v>33</v>
      </c>
      <c r="F2" s="1" t="s">
        <v>2</v>
      </c>
      <c r="H2" s="6" t="s">
        <v>11</v>
      </c>
      <c r="J2" s="177" t="s">
        <v>25</v>
      </c>
      <c r="K2" s="178"/>
      <c r="L2" s="179"/>
      <c r="N2" s="180" t="s">
        <v>50</v>
      </c>
      <c r="O2" s="180"/>
      <c r="P2" s="180"/>
      <c r="Q2" s="180"/>
    </row>
    <row r="3" spans="2:17" ht="18.75" thickBot="1" x14ac:dyDescent="0.3">
      <c r="B3" s="17" t="s">
        <v>121</v>
      </c>
      <c r="D3" s="46" t="s">
        <v>40</v>
      </c>
      <c r="F3" s="2" t="s">
        <v>7</v>
      </c>
      <c r="H3" s="7" t="s">
        <v>143</v>
      </c>
      <c r="J3" s="42"/>
      <c r="K3" s="1" t="s">
        <v>38</v>
      </c>
      <c r="L3" s="43" t="s">
        <v>9</v>
      </c>
      <c r="N3" s="104" t="s">
        <v>51</v>
      </c>
      <c r="O3" s="102" t="s">
        <v>47</v>
      </c>
      <c r="P3" s="102" t="s">
        <v>49</v>
      </c>
      <c r="Q3" s="102" t="s">
        <v>3</v>
      </c>
    </row>
    <row r="4" spans="2:17" ht="16.5" thickBot="1" x14ac:dyDescent="0.3">
      <c r="B4" s="4" t="s">
        <v>122</v>
      </c>
      <c r="D4" s="17" t="s">
        <v>41</v>
      </c>
      <c r="F4" s="3" t="s">
        <v>8</v>
      </c>
      <c r="H4" s="5">
        <v>2026</v>
      </c>
      <c r="J4" s="8" t="s">
        <v>12</v>
      </c>
      <c r="K4" s="12">
        <v>75</v>
      </c>
      <c r="L4" s="12">
        <v>0</v>
      </c>
      <c r="N4" s="105">
        <v>1</v>
      </c>
      <c r="O4" s="108" t="s">
        <v>132</v>
      </c>
      <c r="P4" s="92">
        <v>0</v>
      </c>
      <c r="Q4" s="101">
        <v>6</v>
      </c>
    </row>
    <row r="5" spans="2:17" ht="16.5" thickBot="1" x14ac:dyDescent="0.3">
      <c r="D5" s="17" t="s">
        <v>42</v>
      </c>
      <c r="F5" s="4" t="s">
        <v>9</v>
      </c>
      <c r="J5" s="9" t="s">
        <v>13</v>
      </c>
      <c r="K5" s="13">
        <f>KostenHeleStageJudoka/4+1.25</f>
        <v>20</v>
      </c>
      <c r="L5" s="13">
        <v>0</v>
      </c>
      <c r="N5" s="105">
        <v>2</v>
      </c>
      <c r="O5" s="108" t="s">
        <v>80</v>
      </c>
      <c r="P5" s="92">
        <v>0</v>
      </c>
      <c r="Q5" s="101">
        <v>3</v>
      </c>
    </row>
    <row r="6" spans="2:17" ht="16.5" thickBot="1" x14ac:dyDescent="0.3">
      <c r="D6" s="65" t="s">
        <v>43</v>
      </c>
      <c r="J6" s="9"/>
      <c r="K6" s="139"/>
      <c r="L6" s="13"/>
      <c r="N6" s="105">
        <v>3</v>
      </c>
      <c r="O6" s="108" t="s">
        <v>81</v>
      </c>
      <c r="P6" s="92">
        <v>0</v>
      </c>
      <c r="Q6" s="101">
        <v>2</v>
      </c>
    </row>
    <row r="7" spans="2:17" ht="16.5" thickBot="1" x14ac:dyDescent="0.3">
      <c r="J7" s="4" t="s">
        <v>4</v>
      </c>
      <c r="K7" s="25">
        <v>15</v>
      </c>
      <c r="L7" s="25">
        <v>0</v>
      </c>
      <c r="N7" s="105">
        <v>4</v>
      </c>
      <c r="O7" s="108" t="s">
        <v>82</v>
      </c>
      <c r="P7" s="92">
        <v>0</v>
      </c>
      <c r="Q7" s="101">
        <v>1</v>
      </c>
    </row>
    <row r="8" spans="2:17" ht="16.5" thickBot="1" x14ac:dyDescent="0.3">
      <c r="B8" s="1" t="s">
        <v>30</v>
      </c>
      <c r="D8" s="1" t="s">
        <v>39</v>
      </c>
      <c r="F8" s="1" t="s">
        <v>10</v>
      </c>
      <c r="N8" s="122"/>
      <c r="O8" s="123"/>
      <c r="P8" s="109"/>
      <c r="Q8" s="124"/>
    </row>
    <row r="9" spans="2:17" ht="16.5" thickBot="1" x14ac:dyDescent="0.3">
      <c r="B9" s="46" t="s">
        <v>100</v>
      </c>
      <c r="D9" s="44">
        <v>26</v>
      </c>
      <c r="F9" s="5">
        <f>JAARTAL-14</f>
        <v>2012</v>
      </c>
      <c r="J9" s="176"/>
      <c r="K9" s="176"/>
      <c r="L9" s="176"/>
      <c r="N9" s="122"/>
      <c r="O9" s="123"/>
      <c r="P9" s="109"/>
      <c r="Q9" s="124"/>
    </row>
    <row r="10" spans="2:17" x14ac:dyDescent="0.25">
      <c r="B10" s="17" t="s">
        <v>102</v>
      </c>
      <c r="D10" s="45">
        <v>27</v>
      </c>
      <c r="J10" s="141"/>
      <c r="K10" s="141"/>
      <c r="L10" s="141"/>
      <c r="N10" s="122"/>
      <c r="O10" s="123"/>
      <c r="P10" s="109"/>
      <c r="Q10" s="124"/>
    </row>
    <row r="11" spans="2:17" ht="16.5" thickBot="1" x14ac:dyDescent="0.3">
      <c r="B11" s="4" t="s">
        <v>101</v>
      </c>
      <c r="D11" s="45">
        <v>28</v>
      </c>
      <c r="J11" s="109"/>
      <c r="K11" s="142"/>
      <c r="L11" s="143"/>
      <c r="N11" s="122"/>
      <c r="O11" s="123"/>
      <c r="P11" s="109"/>
      <c r="Q11" s="124"/>
    </row>
    <row r="12" spans="2:17" ht="16.5" thickBot="1" x14ac:dyDescent="0.3">
      <c r="D12" s="5">
        <v>29</v>
      </c>
      <c r="J12" s="109"/>
      <c r="K12" s="142"/>
      <c r="L12" s="143"/>
    </row>
    <row r="13" spans="2:17" x14ac:dyDescent="0.25">
      <c r="J13" s="109"/>
      <c r="K13" s="144"/>
      <c r="L13" s="143"/>
      <c r="N13" s="174" t="s">
        <v>25</v>
      </c>
      <c r="O13" s="175"/>
      <c r="P13" s="107"/>
      <c r="Q13" s="107"/>
    </row>
    <row r="14" spans="2:17" x14ac:dyDescent="0.25">
      <c r="J14" s="109"/>
      <c r="K14" s="144"/>
      <c r="L14" s="143"/>
      <c r="N14" s="104" t="s">
        <v>52</v>
      </c>
      <c r="O14" s="102" t="s">
        <v>54</v>
      </c>
    </row>
    <row r="15" spans="2:17" x14ac:dyDescent="0.25">
      <c r="J15" s="124"/>
      <c r="K15" s="144"/>
      <c r="L15" s="109"/>
      <c r="N15" s="92">
        <v>0</v>
      </c>
      <c r="O15" s="100">
        <v>0</v>
      </c>
    </row>
    <row r="16" spans="2:17" ht="16.5" thickBot="1" x14ac:dyDescent="0.3">
      <c r="N16" s="92">
        <v>1</v>
      </c>
      <c r="O16" s="100">
        <f>KostenEnkeleTrainingJudoka*N16</f>
        <v>20</v>
      </c>
    </row>
    <row r="17" spans="2:15" ht="16.5" thickBot="1" x14ac:dyDescent="0.3">
      <c r="J17" s="10" t="s">
        <v>24</v>
      </c>
      <c r="K17" s="11"/>
      <c r="N17" s="92">
        <v>2</v>
      </c>
      <c r="O17" s="100">
        <f>KostenEnkeleTrainingJudoka*N17</f>
        <v>40</v>
      </c>
    </row>
    <row r="18" spans="2:15" x14ac:dyDescent="0.25">
      <c r="J18" s="8" t="s">
        <v>23</v>
      </c>
      <c r="K18" s="12">
        <v>10</v>
      </c>
      <c r="N18" s="92">
        <v>3</v>
      </c>
      <c r="O18" s="100">
        <f>KostenEnkeleTrainingJudoka*N18</f>
        <v>60</v>
      </c>
    </row>
    <row r="19" spans="2:15" x14ac:dyDescent="0.25">
      <c r="J19" s="9" t="s">
        <v>26</v>
      </c>
      <c r="K19" s="13">
        <v>25</v>
      </c>
      <c r="N19" s="92">
        <v>4</v>
      </c>
      <c r="O19" s="100">
        <f>KostenHeleStageJudoka</f>
        <v>75</v>
      </c>
    </row>
    <row r="20" spans="2:15" x14ac:dyDescent="0.25">
      <c r="J20" s="26"/>
      <c r="K20" s="13"/>
      <c r="N20" s="92">
        <v>5</v>
      </c>
      <c r="O20" s="100">
        <f>O19</f>
        <v>75</v>
      </c>
    </row>
    <row r="21" spans="2:15" ht="16.5" thickBot="1" x14ac:dyDescent="0.3">
      <c r="J21" s="4"/>
      <c r="K21" s="25"/>
      <c r="N21" s="92">
        <v>6</v>
      </c>
      <c r="O21" s="100">
        <f>O19</f>
        <v>75</v>
      </c>
    </row>
    <row r="26" spans="2:15" x14ac:dyDescent="0.25">
      <c r="B26" t="s">
        <v>128</v>
      </c>
    </row>
  </sheetData>
  <sheetProtection algorithmName="SHA-512" hashValue="OvN8OkHloEHc6Bm2xlUC8qcMchxEF/iboa4G+bvo+S+svXsyA5Ap0jZVjT2uh7kISFT9BPCHb4ijoHHHo/liIg==" saltValue="oyioEfpUd0LJ9XeOos8C/w==" spinCount="100000" sheet="1" selectLockedCells="1" selectUnlockedCells="1"/>
  <mergeCells count="4">
    <mergeCell ref="N13:O13"/>
    <mergeCell ref="J9:L9"/>
    <mergeCell ref="J2:L2"/>
    <mergeCell ref="N2:Q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33</vt:i4>
      </vt:variant>
    </vt:vector>
  </HeadingPairs>
  <TitlesOfParts>
    <vt:vector size="35" baseType="lpstr">
      <vt:lpstr>Club details</vt:lpstr>
      <vt:lpstr>Participants</vt:lpstr>
      <vt:lpstr>AankomstDag</vt:lpstr>
      <vt:lpstr>Betaald</vt:lpstr>
      <vt:lpstr>BetaaldClub</vt:lpstr>
      <vt:lpstr>Categorie</vt:lpstr>
      <vt:lpstr>CategorieWaarden</vt:lpstr>
      <vt:lpstr>Dag_1</vt:lpstr>
      <vt:lpstr>Dag_2_Middag</vt:lpstr>
      <vt:lpstr>Dag_2_Ochtend</vt:lpstr>
      <vt:lpstr>Dag_3_Middag</vt:lpstr>
      <vt:lpstr>Dag_3_Ochtend</vt:lpstr>
      <vt:lpstr>Dag_4</vt:lpstr>
      <vt:lpstr>DATA_ANaam</vt:lpstr>
      <vt:lpstr>DATA_Land</vt:lpstr>
      <vt:lpstr>DATA_Ver</vt:lpstr>
      <vt:lpstr>Participants!DeelnameNamen</vt:lpstr>
      <vt:lpstr>GrensU15</vt:lpstr>
      <vt:lpstr>HotelWaarden</vt:lpstr>
      <vt:lpstr>InschrijvingBetaald</vt:lpstr>
      <vt:lpstr>JAARGANG</vt:lpstr>
      <vt:lpstr>JAARTAL</vt:lpstr>
      <vt:lpstr>JaNee</vt:lpstr>
      <vt:lpstr>Kamer</vt:lpstr>
      <vt:lpstr>KostenClinic</vt:lpstr>
      <vt:lpstr>KostenEnkeleTrainingJudoka</vt:lpstr>
      <vt:lpstr>KostenHeleStage</vt:lpstr>
      <vt:lpstr>KostenHeleStageJudoka</vt:lpstr>
      <vt:lpstr>KostenStage</vt:lpstr>
      <vt:lpstr>KostenTraining</vt:lpstr>
      <vt:lpstr>KostenTransportHotel</vt:lpstr>
      <vt:lpstr>KostenTransportSchiphol</vt:lpstr>
      <vt:lpstr>OptieBeschrijvingen</vt:lpstr>
      <vt:lpstr>OptieClub</vt:lpstr>
      <vt:lpstr>Opties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 Schoonen</dc:creator>
  <cp:lastModifiedBy>Schoonen Andre</cp:lastModifiedBy>
  <dcterms:created xsi:type="dcterms:W3CDTF">2020-01-03T20:51:48Z</dcterms:created>
  <dcterms:modified xsi:type="dcterms:W3CDTF">2026-09-22T07:13:03Z</dcterms:modified>
</cp:coreProperties>
</file>